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visonjo\Downloads\"/>
    </mc:Choice>
  </mc:AlternateContent>
  <xr:revisionPtr revIDLastSave="0" documentId="13_ncr:1_{C0DBEA86-B348-4AAD-AC1D-13BDE0A924B6}" xr6:coauthVersionLast="47" xr6:coauthVersionMax="47" xr10:uidLastSave="{00000000-0000-0000-0000-000000000000}"/>
  <bookViews>
    <workbookView xWindow="-110" yWindow="-110" windowWidth="19420" windowHeight="10420" tabRatio="545" activeTab="1" xr2:uid="{5ECDE410-1BCC-4810-8461-BD6C34D3BF13}"/>
  </bookViews>
  <sheets>
    <sheet name="NewCalculation" sheetId="32" r:id="rId1"/>
    <sheet name="Rates.Table" sheetId="26" r:id="rId2"/>
    <sheet name="Data.Dictionary" sheetId="30" r:id="rId3"/>
  </sheets>
  <definedNames>
    <definedName name="Area_Type" localSheetId="0">NewCalculation!#REF!</definedName>
    <definedName name="Area_Type">#REF!</definedName>
    <definedName name="cont_com">#REF!</definedName>
    <definedName name="EQI">#REF!</definedName>
    <definedName name="EQI_Rate_Table">#REF!</definedName>
    <definedName name="Extra_Students">#REF!</definedName>
    <definedName name="First_100">#REF!</definedName>
    <definedName name="First_Students">#REF!</definedName>
    <definedName name="Isolation_Index">#REF!</definedName>
    <definedName name="Maori_Immersion">#REF!</definedName>
    <definedName name="New_School_Ind">#REF!</definedName>
    <definedName name="Primary_Roll">#REF!</definedName>
    <definedName name="Property_Type">#REF!</definedName>
    <definedName name="School_Number">#REF!</definedName>
    <definedName name="School_Type">#REF!</definedName>
    <definedName name="Secondary_Roll">#REF!</definedName>
    <definedName name="Total_Rol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32" l="1"/>
  <c r="N75" i="32"/>
  <c r="N72" i="32"/>
  <c r="N69" i="32"/>
  <c r="N68" i="32"/>
  <c r="K75" i="32"/>
  <c r="K74" i="32"/>
  <c r="D74" i="32" s="1"/>
  <c r="K73" i="32"/>
  <c r="K72" i="32"/>
  <c r="K71" i="32"/>
  <c r="D71" i="32" s="1"/>
  <c r="K70" i="32"/>
  <c r="D70" i="32" s="1"/>
  <c r="K69" i="32"/>
  <c r="K68" i="32"/>
  <c r="J59" i="32"/>
  <c r="I59" i="32"/>
  <c r="C64" i="32"/>
  <c r="D75" i="32" l="1"/>
  <c r="D69" i="32"/>
  <c r="D12" i="32"/>
  <c r="C6" i="32"/>
  <c r="J73" i="32"/>
  <c r="J71" i="32"/>
  <c r="J70" i="32"/>
  <c r="J63" i="32" l="1"/>
  <c r="I63" i="32"/>
  <c r="J74" i="32" l="1"/>
  <c r="I49" i="32"/>
  <c r="L48" i="32"/>
  <c r="I48" i="32"/>
  <c r="L47" i="32"/>
  <c r="I47" i="32"/>
  <c r="L44" i="32"/>
  <c r="P43" i="32"/>
  <c r="N43" i="32"/>
  <c r="L43" i="32"/>
  <c r="I43" i="32"/>
  <c r="K40" i="32"/>
  <c r="V12" i="32"/>
  <c r="U12" i="32"/>
  <c r="I32" i="32" s="1"/>
  <c r="V11" i="32"/>
  <c r="U11" i="32"/>
  <c r="I31" i="32" s="1"/>
  <c r="N62" i="32" l="1"/>
  <c r="N61" i="32"/>
  <c r="N60" i="32"/>
  <c r="N59" i="32"/>
  <c r="G31" i="32" l="1"/>
  <c r="K31" i="32" s="1"/>
  <c r="K78" i="32"/>
  <c r="G75" i="32"/>
  <c r="G74" i="32"/>
  <c r="G73" i="32"/>
  <c r="G72" i="32"/>
  <c r="G71" i="32"/>
  <c r="G70" i="32"/>
  <c r="G69" i="32"/>
  <c r="G68" i="32"/>
  <c r="N64" i="32"/>
  <c r="K64" i="32"/>
  <c r="G64" i="32"/>
  <c r="K63" i="32"/>
  <c r="G63" i="32"/>
  <c r="K62" i="32"/>
  <c r="G62" i="32"/>
  <c r="K61" i="32"/>
  <c r="G61" i="32"/>
  <c r="K60" i="32"/>
  <c r="G60" i="32"/>
  <c r="K59" i="32"/>
  <c r="G59" i="32"/>
  <c r="G56" i="32"/>
  <c r="G55" i="32"/>
  <c r="G54" i="32"/>
  <c r="G51" i="32"/>
  <c r="G50" i="32"/>
  <c r="G49" i="32"/>
  <c r="M48" i="32"/>
  <c r="K48" i="32"/>
  <c r="G48" i="32"/>
  <c r="M47" i="32"/>
  <c r="G47" i="32"/>
  <c r="K46" i="32"/>
  <c r="G46" i="32"/>
  <c r="P45" i="32"/>
  <c r="Q45" i="32" s="1"/>
  <c r="N45" i="32"/>
  <c r="O45" i="32" s="1"/>
  <c r="L45" i="32"/>
  <c r="M45" i="32" s="1"/>
  <c r="I45" i="32"/>
  <c r="G45" i="32"/>
  <c r="M44" i="32"/>
  <c r="I44" i="32"/>
  <c r="K44" i="32" s="1"/>
  <c r="G44" i="32"/>
  <c r="Q43" i="32"/>
  <c r="O43" i="32"/>
  <c r="M43" i="32"/>
  <c r="G43" i="32"/>
  <c r="K42" i="32"/>
  <c r="I42" i="32"/>
  <c r="G42" i="32"/>
  <c r="K41" i="32"/>
  <c r="G41" i="32"/>
  <c r="G40" i="32"/>
  <c r="M39" i="32"/>
  <c r="G39" i="32"/>
  <c r="K38" i="32"/>
  <c r="G38" i="32"/>
  <c r="G37" i="32"/>
  <c r="K37" i="32" s="1"/>
  <c r="G36" i="32"/>
  <c r="K36" i="32" s="1"/>
  <c r="G35" i="32"/>
  <c r="K30" i="32"/>
  <c r="K29" i="32"/>
  <c r="P21" i="32"/>
  <c r="O21" i="32"/>
  <c r="I21" i="32"/>
  <c r="P15" i="32"/>
  <c r="O15" i="32"/>
  <c r="C12" i="32"/>
  <c r="P6" i="32"/>
  <c r="D8" i="32"/>
  <c r="P7" i="32"/>
  <c r="O7" i="32"/>
  <c r="D7" i="32"/>
  <c r="O6" i="32"/>
  <c r="C63" i="32" l="1"/>
  <c r="D63" i="32"/>
  <c r="I35" i="32"/>
  <c r="I50" i="32"/>
  <c r="I46" i="32"/>
  <c r="C46" i="32" s="1"/>
  <c r="E46" i="32" s="1"/>
  <c r="P69" i="32"/>
  <c r="U6" i="32"/>
  <c r="C44" i="32"/>
  <c r="E44" i="32" s="1"/>
  <c r="C31" i="32"/>
  <c r="E31" i="32" s="1"/>
  <c r="E63" i="32"/>
  <c r="C48" i="32"/>
  <c r="E48" i="32" s="1"/>
  <c r="I40" i="32"/>
  <c r="C40" i="32" s="1"/>
  <c r="E40" i="32" s="1"/>
  <c r="I39" i="32"/>
  <c r="K39" i="32"/>
  <c r="C39" i="32" s="1"/>
  <c r="E39" i="32" s="1"/>
  <c r="I55" i="32"/>
  <c r="L41" i="32"/>
  <c r="K43" i="32"/>
  <c r="K49" i="32"/>
  <c r="J21" i="32"/>
  <c r="I38" i="32"/>
  <c r="C38" i="32" s="1"/>
  <c r="E38" i="32" s="1"/>
  <c r="I54" i="32"/>
  <c r="L42" i="32"/>
  <c r="I41" i="32"/>
  <c r="K47" i="32"/>
  <c r="C47" i="32" s="1"/>
  <c r="E47" i="32" s="1"/>
  <c r="U7" i="32"/>
  <c r="G32" i="32"/>
  <c r="K32" i="32" s="1"/>
  <c r="K45" i="32"/>
  <c r="C45" i="32" s="1"/>
  <c r="E45" i="32" s="1"/>
  <c r="I56" i="32"/>
  <c r="M68" i="32" l="1"/>
  <c r="J68" i="32"/>
  <c r="V6" i="32"/>
  <c r="V7" i="32"/>
  <c r="E71" i="32"/>
  <c r="E70" i="32"/>
  <c r="J69" i="32"/>
  <c r="M69" i="32"/>
  <c r="K55" i="32"/>
  <c r="C55" i="32"/>
  <c r="E55" i="32" s="1"/>
  <c r="E74" i="32"/>
  <c r="C32" i="32"/>
  <c r="E32" i="32" s="1"/>
  <c r="I51" i="32"/>
  <c r="I29" i="32"/>
  <c r="I64" i="32"/>
  <c r="I36" i="32"/>
  <c r="U9" i="32"/>
  <c r="I60" i="32"/>
  <c r="I61" i="32"/>
  <c r="I62" i="32"/>
  <c r="C49" i="32"/>
  <c r="E49" i="32" s="1"/>
  <c r="C43" i="32"/>
  <c r="E43" i="32" s="1"/>
  <c r="M41" i="32"/>
  <c r="C41" i="32" s="1"/>
  <c r="E41" i="32" s="1"/>
  <c r="M42" i="32"/>
  <c r="C42" i="32"/>
  <c r="E42" i="32" s="1"/>
  <c r="D79" i="32"/>
  <c r="N35" i="32"/>
  <c r="L35" i="32"/>
  <c r="C35" i="32" s="1"/>
  <c r="E35" i="32" s="1"/>
  <c r="P35" i="32"/>
  <c r="K50" i="32"/>
  <c r="K54" i="32"/>
  <c r="C54" i="32" s="1"/>
  <c r="E54" i="32" s="1"/>
  <c r="I37" i="32"/>
  <c r="K56" i="32"/>
  <c r="C56" i="32" s="1"/>
  <c r="E56" i="32" s="1"/>
  <c r="J72" i="32" l="1"/>
  <c r="J61" i="32"/>
  <c r="J60" i="32"/>
  <c r="J75" i="32"/>
  <c r="J64" i="32"/>
  <c r="J62" i="32"/>
  <c r="E69" i="32"/>
  <c r="V9" i="32"/>
  <c r="C29" i="32"/>
  <c r="E29" i="32" s="1"/>
  <c r="L36" i="32"/>
  <c r="M36" i="32" s="1"/>
  <c r="I30" i="32"/>
  <c r="L37" i="32"/>
  <c r="M37" i="32" s="1"/>
  <c r="L51" i="32"/>
  <c r="L64" i="32"/>
  <c r="L62" i="32"/>
  <c r="L61" i="32"/>
  <c r="L60" i="32"/>
  <c r="C60" i="32" s="1"/>
  <c r="L59" i="32"/>
  <c r="C50" i="32"/>
  <c r="E50" i="32" s="1"/>
  <c r="C57" i="32"/>
  <c r="E57" i="32"/>
  <c r="E79" i="32"/>
  <c r="C79" i="32"/>
  <c r="D72" i="32"/>
  <c r="M51" i="32"/>
  <c r="K51" i="32"/>
  <c r="C51" i="32" s="1"/>
  <c r="E51" i="32" s="1"/>
  <c r="D68" i="32"/>
  <c r="D73" i="32"/>
  <c r="D53" i="26"/>
  <c r="D52" i="26"/>
  <c r="C36" i="32" l="1"/>
  <c r="E36" i="32" s="1"/>
  <c r="M72" i="32"/>
  <c r="M75" i="32"/>
  <c r="E75" i="32" s="1"/>
  <c r="E68" i="32"/>
  <c r="C61" i="32"/>
  <c r="C62" i="32"/>
  <c r="C59" i="32"/>
  <c r="C30" i="32"/>
  <c r="E30" i="32" s="1"/>
  <c r="C37" i="32"/>
  <c r="E37" i="32" s="1"/>
  <c r="M62" i="32"/>
  <c r="M61" i="32"/>
  <c r="M60" i="32"/>
  <c r="M64" i="32"/>
  <c r="D64" i="32" s="1"/>
  <c r="E64" i="32" s="1"/>
  <c r="M59" i="32"/>
  <c r="D59" i="32" s="1"/>
  <c r="E72" i="32" l="1"/>
  <c r="E59" i="32"/>
  <c r="E73" i="32"/>
  <c r="E76" i="32" s="1"/>
  <c r="D60" i="32"/>
  <c r="E60" i="32" s="1"/>
  <c r="D61" i="32"/>
  <c r="E61" i="32" s="1"/>
  <c r="D62" i="32"/>
  <c r="E62" i="32" s="1"/>
  <c r="E52" i="32"/>
  <c r="E33" i="32"/>
  <c r="C33" i="32"/>
  <c r="C52" i="32"/>
  <c r="C65" i="32" l="1"/>
  <c r="C66" i="32" s="1"/>
  <c r="E65" i="32"/>
  <c r="D65" i="32"/>
  <c r="D76" i="32"/>
  <c r="E66" i="32" l="1"/>
  <c r="E80" i="32" s="1"/>
  <c r="D66" i="32"/>
  <c r="D80" i="32" s="1"/>
  <c r="F17" i="26" l="1"/>
  <c r="F21" i="26"/>
  <c r="F25" i="26"/>
  <c r="D287" i="26"/>
  <c r="D286" i="26"/>
  <c r="D285" i="26"/>
  <c r="D284" i="26"/>
  <c r="D283" i="26"/>
  <c r="D282" i="26"/>
  <c r="D281" i="26"/>
  <c r="D280" i="26"/>
  <c r="D279" i="26"/>
  <c r="D278" i="26"/>
  <c r="D277" i="26"/>
  <c r="D276" i="26"/>
  <c r="D275" i="26"/>
  <c r="D274" i="26"/>
  <c r="D273" i="26"/>
  <c r="D272" i="26"/>
  <c r="D271" i="26"/>
  <c r="D270" i="26"/>
  <c r="D269" i="26"/>
  <c r="D268" i="26"/>
  <c r="D267" i="26"/>
  <c r="D266" i="26"/>
  <c r="D265" i="26"/>
  <c r="D264" i="26"/>
  <c r="D228" i="26"/>
  <c r="D226" i="26"/>
  <c r="D224" i="26"/>
  <c r="D212" i="26"/>
  <c r="K210" i="26"/>
  <c r="C212" i="26"/>
  <c r="I210" i="26"/>
  <c r="C206" i="26"/>
  <c r="B212" i="26"/>
  <c r="G210" i="26"/>
  <c r="H210" i="26"/>
  <c r="D214" i="26"/>
  <c r="D208" i="26"/>
  <c r="D215" i="26"/>
  <c r="C214" i="26"/>
  <c r="C208" i="26"/>
  <c r="C215" i="26"/>
  <c r="B214" i="26"/>
  <c r="B208" i="26"/>
  <c r="B215" i="26"/>
  <c r="L210" i="26"/>
  <c r="L212" i="26"/>
  <c r="J210" i="26"/>
  <c r="J212" i="26"/>
  <c r="H212" i="26"/>
  <c r="D205" i="26"/>
  <c r="D207" i="26"/>
  <c r="C205" i="26"/>
  <c r="C207" i="26"/>
  <c r="B205" i="26"/>
  <c r="B207" i="26"/>
  <c r="D197" i="26"/>
  <c r="D198" i="26"/>
  <c r="D199" i="26"/>
  <c r="D200" i="26"/>
  <c r="D201" i="26"/>
  <c r="C197" i="26"/>
  <c r="C198" i="26"/>
  <c r="C199" i="26"/>
  <c r="C200" i="26"/>
  <c r="C201" i="26"/>
  <c r="B197" i="26"/>
  <c r="B198" i="26"/>
  <c r="B199" i="26"/>
  <c r="B200" i="26"/>
  <c r="B201" i="26"/>
  <c r="E91" i="26"/>
  <c r="E89" i="26"/>
  <c r="E87" i="26"/>
  <c r="E78" i="26"/>
  <c r="E73" i="26"/>
  <c r="E67" i="26"/>
  <c r="F12" i="26"/>
  <c r="F11" i="26"/>
  <c r="F10" i="26"/>
  <c r="F9" i="26"/>
  <c r="F7" i="26"/>
  <c r="F5" i="26"/>
  <c r="B206" i="26"/>
  <c r="G212" i="26"/>
  <c r="C213" i="26"/>
  <c r="C209" i="26"/>
  <c r="D206" i="26"/>
  <c r="K212" i="26"/>
  <c r="I212" i="26"/>
  <c r="C218" i="26"/>
  <c r="C216" i="26"/>
  <c r="D213" i="26"/>
  <c r="D209" i="26"/>
  <c r="B213" i="26"/>
  <c r="B209" i="26"/>
  <c r="B218" i="26"/>
  <c r="B216" i="26"/>
  <c r="D216" i="26"/>
  <c r="D218" i="26"/>
</calcChain>
</file>

<file path=xl/sharedStrings.xml><?xml version="1.0" encoding="utf-8"?>
<sst xmlns="http://schemas.openxmlformats.org/spreadsheetml/2006/main" count="1424" uniqueCount="298">
  <si>
    <t>Charter School Funding Calculator</t>
  </si>
  <si>
    <t>Input Section</t>
  </si>
  <si>
    <t>Yellow Input Cells: For entering school-specific details.</t>
  </si>
  <si>
    <t>School Information</t>
  </si>
  <si>
    <t>School Roll</t>
  </si>
  <si>
    <t>Calculation Period</t>
  </si>
  <si>
    <t>Year Level</t>
  </si>
  <si>
    <t>No. of Students</t>
  </si>
  <si>
    <t>Primary Roll</t>
  </si>
  <si>
    <t>First 100 Students</t>
  </si>
  <si>
    <t>Contract Commencement Date</t>
  </si>
  <si>
    <t>Estimated</t>
  </si>
  <si>
    <t>Established</t>
  </si>
  <si>
    <t>Secondary Roll</t>
  </si>
  <si>
    <t>First Students</t>
  </si>
  <si>
    <t>School Type</t>
  </si>
  <si>
    <t>Primary</t>
  </si>
  <si>
    <t>Year 1</t>
  </si>
  <si>
    <t>Extra Students</t>
  </si>
  <si>
    <t>New School</t>
  </si>
  <si>
    <t>Yes</t>
  </si>
  <si>
    <t>Year 2</t>
  </si>
  <si>
    <t>Māori Language Programmes</t>
  </si>
  <si>
    <t>Number of Learners</t>
  </si>
  <si>
    <t>Converting Private School</t>
  </si>
  <si>
    <t>No</t>
  </si>
  <si>
    <t>Year 3</t>
  </si>
  <si>
    <t>Māori_Immersion</t>
  </si>
  <si>
    <t>First Year of Operation as Charter School</t>
  </si>
  <si>
    <t>Year 4</t>
  </si>
  <si>
    <t>Level 1</t>
  </si>
  <si>
    <t>Pacific_Immersion</t>
  </si>
  <si>
    <t>Property Type</t>
  </si>
  <si>
    <t>Year 5</t>
  </si>
  <si>
    <t>Level 2</t>
  </si>
  <si>
    <t>Year 6</t>
  </si>
  <si>
    <t>Level 3</t>
  </si>
  <si>
    <t>Area Classification</t>
  </si>
  <si>
    <t>Major Urban Centre</t>
  </si>
  <si>
    <t>Year 7</t>
  </si>
  <si>
    <t>Level 4</t>
  </si>
  <si>
    <t>EQI</t>
  </si>
  <si>
    <t>Year 8</t>
  </si>
  <si>
    <t>Total</t>
  </si>
  <si>
    <t>Isolation Index</t>
  </si>
  <si>
    <t>Year 9</t>
  </si>
  <si>
    <t>Vandalism Risk</t>
  </si>
  <si>
    <t>Low Risk</t>
  </si>
  <si>
    <t>Year 10</t>
  </si>
  <si>
    <t>Pacific Language Programmes</t>
  </si>
  <si>
    <t>Inclusion in Risk Management Scheme</t>
  </si>
  <si>
    <t>Year 11</t>
  </si>
  <si>
    <t>Inclusion in Donations Scheme</t>
  </si>
  <si>
    <t>Year 12</t>
  </si>
  <si>
    <t>Year of Operation as Charter School</t>
  </si>
  <si>
    <t>Year 13</t>
  </si>
  <si>
    <t>Total Roll</t>
  </si>
  <si>
    <t>*new school only</t>
  </si>
  <si>
    <t>Show based calculation (Y/N)</t>
  </si>
  <si>
    <t>Salaries Funding</t>
  </si>
  <si>
    <t>First students</t>
  </si>
  <si>
    <t>first_student</t>
  </si>
  <si>
    <t>extra_student</t>
  </si>
  <si>
    <t>Māori Immersion</t>
  </si>
  <si>
    <t>Pacific Immersion</t>
  </si>
  <si>
    <t>Total Salaries Funding</t>
  </si>
  <si>
    <t>Operational Funding</t>
  </si>
  <si>
    <t>Base Funding</t>
  </si>
  <si>
    <t>Relief Teacher funding</t>
  </si>
  <si>
    <t>Heat Light and Water funding</t>
  </si>
  <si>
    <t xml:space="preserve">Equity Funding (EQI) </t>
  </si>
  <si>
    <t>Support for Inclusion (SIF) previously SEG</t>
  </si>
  <si>
    <t>Careers Information Grant (CIG)</t>
  </si>
  <si>
    <t>ICT Funding</t>
  </si>
  <si>
    <t>Targeted Funding for Isolation</t>
  </si>
  <si>
    <t>Per-Pupil Funding</t>
  </si>
  <si>
    <t>KiwiSport</t>
  </si>
  <si>
    <t xml:space="preserve">Maori Language Programme </t>
  </si>
  <si>
    <t>Donations Scheme</t>
  </si>
  <si>
    <t>Pacific Bilingual and Immersion Funding</t>
  </si>
  <si>
    <t>STAR Funding</t>
  </si>
  <si>
    <t>Risk Management Scheme Premium</t>
  </si>
  <si>
    <t xml:space="preserve">Vandalism </t>
  </si>
  <si>
    <t>Non-teacher top-up funding</t>
  </si>
  <si>
    <t>Total operational funding</t>
  </si>
  <si>
    <t>Payroll</t>
  </si>
  <si>
    <t>Professional Learning and Development (PLD)</t>
  </si>
  <si>
    <t>Digital</t>
  </si>
  <si>
    <t>Total Services funding</t>
  </si>
  <si>
    <t xml:space="preserve">Property Maintenance </t>
  </si>
  <si>
    <t>Furniture and Equipment</t>
  </si>
  <si>
    <t>Capital Maintenance - OPEX</t>
  </si>
  <si>
    <t>Capital Maintenance - CAPEX</t>
  </si>
  <si>
    <t>Capital Maintenance - Sponsor Owned</t>
  </si>
  <si>
    <t>Lease Based Funding</t>
  </si>
  <si>
    <t>Total Property funding</t>
  </si>
  <si>
    <t>Establishment</t>
  </si>
  <si>
    <t>Establishment Operational Funding</t>
  </si>
  <si>
    <t>Establishment Senior Management Funding</t>
  </si>
  <si>
    <t>Establishment Funding for Remaining Staff</t>
  </si>
  <si>
    <t>Establishment Grants: Initial furniture and equipment funding</t>
  </si>
  <si>
    <t>Establishment fit-out</t>
  </si>
  <si>
    <t xml:space="preserve">Establishment ICT </t>
  </si>
  <si>
    <t>Capital Maintenance -Sponsor Owned</t>
  </si>
  <si>
    <t>Total Establishment funding</t>
  </si>
  <si>
    <t>Transition</t>
  </si>
  <si>
    <t>Transitional Funding</t>
  </si>
  <si>
    <t>Total Transition funding</t>
  </si>
  <si>
    <t>Rate Table</t>
  </si>
  <si>
    <t>*Uses 2025 rates for calculations</t>
  </si>
  <si>
    <t>Component</t>
  </si>
  <si>
    <t>Sub Component</t>
  </si>
  <si>
    <t>Student Type</t>
  </si>
  <si>
    <t>Rate</t>
  </si>
  <si>
    <t>Base-equivalent</t>
  </si>
  <si>
    <t>Secondary</t>
  </si>
  <si>
    <t>Composite</t>
  </si>
  <si>
    <t>māori_immersion</t>
  </si>
  <si>
    <t>pacific_immersion</t>
  </si>
  <si>
    <t>OPS Base Rates</t>
  </si>
  <si>
    <t>SIF Base Rate</t>
  </si>
  <si>
    <t>TFI Base Rate</t>
  </si>
  <si>
    <t xml:space="preserve"> (per student rate, 1st 100 students)</t>
  </si>
  <si>
    <t>ICT Base Rate</t>
  </si>
  <si>
    <t>OPS Core Comp Rates</t>
  </si>
  <si>
    <t>Funding Component</t>
  </si>
  <si>
    <t>Category</t>
  </si>
  <si>
    <t>Per-Pupil</t>
  </si>
  <si>
    <t>Y1Y6</t>
  </si>
  <si>
    <t>Y7Y8</t>
  </si>
  <si>
    <t>Y9Y10</t>
  </si>
  <si>
    <t>Y11Y15</t>
  </si>
  <si>
    <t>Y1-Y8</t>
  </si>
  <si>
    <t>Kiwisport</t>
  </si>
  <si>
    <t>Y9-Y15</t>
  </si>
  <si>
    <t>First 30 Units</t>
  </si>
  <si>
    <t>Remaining Units</t>
  </si>
  <si>
    <t>Unit</t>
  </si>
  <si>
    <t>Medium Risk</t>
  </si>
  <si>
    <t>High Risk</t>
  </si>
  <si>
    <t>Critical Risk</t>
  </si>
  <si>
    <t>Extreme Risk</t>
  </si>
  <si>
    <t xml:space="preserve">Not Qualify </t>
  </si>
  <si>
    <t>OPS Base Funding</t>
  </si>
  <si>
    <t>Roll</t>
  </si>
  <si>
    <t>Base</t>
  </si>
  <si>
    <t>Per Pupil</t>
  </si>
  <si>
    <t>OPS Non-Teacher Top-up</t>
  </si>
  <si>
    <t>Base-eq before EQI</t>
  </si>
  <si>
    <t>Services-Based Funding</t>
  </si>
  <si>
    <t>Service</t>
  </si>
  <si>
    <t>Per-student rate</t>
  </si>
  <si>
    <t>Nationally provided Professional Learning and Development (PLD)</t>
  </si>
  <si>
    <t>Total per-student rate</t>
  </si>
  <si>
    <t>Establishment Funding Ops</t>
  </si>
  <si>
    <t>Sector</t>
  </si>
  <si>
    <t>1-200 roll</t>
  </si>
  <si>
    <t>200+ roll</t>
  </si>
  <si>
    <t>Establishment Senior Management</t>
  </si>
  <si>
    <t>Roles</t>
  </si>
  <si>
    <t xml:space="preserve">Senior Management </t>
  </si>
  <si>
    <t xml:space="preserve">Senior Head of Department </t>
  </si>
  <si>
    <t>Establishment Staffing Rates</t>
  </si>
  <si>
    <t>Establishment Funding Principal</t>
  </si>
  <si>
    <t>U-GRADE</t>
  </si>
  <si>
    <t>Minimum roll</t>
  </si>
  <si>
    <t>Max roll</t>
  </si>
  <si>
    <t>Funding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</si>
  <si>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</si>
  <si>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</si>
  <si>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</si>
  <si>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</si>
  <si>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</si>
  <si>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</si>
  <si>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</si>
  <si>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</si>
  <si>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</si>
  <si>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</si>
  <si>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</si>
  <si>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</si>
  <si>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</si>
  <si>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</si>
  <si>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</si>
  <si>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</si>
  <si>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 xml:space="preserve"> Above </t>
  </si>
  <si>
    <t>Establishment Furniture and Equipment Rates (New Schools - non-Ministry property)</t>
  </si>
  <si>
    <t>School type</t>
  </si>
  <si>
    <t>Establishment Fit-out (New Schools - non-Ministry property)</t>
  </si>
  <si>
    <t>Establishment ICT Funding (New schools - non-Ministry property)</t>
  </si>
  <si>
    <t>Capital Maintenance - Sponsor owned prior to opening</t>
  </si>
  <si>
    <t>Lease Based Funding Rates prior to opening</t>
  </si>
  <si>
    <t>Student type</t>
  </si>
  <si>
    <t>Area_Type</t>
  </si>
  <si>
    <t>Leased From Third Party</t>
  </si>
  <si>
    <t>Other Areas</t>
  </si>
  <si>
    <t>Establishment summary - non-property (school of 200)</t>
  </si>
  <si>
    <t>Ops</t>
  </si>
  <si>
    <t>Senior Management</t>
  </si>
  <si>
    <t>Staffing</t>
  </si>
  <si>
    <t>Principal</t>
  </si>
  <si>
    <t>Establishment summary - property (school of 200)</t>
  </si>
  <si>
    <t>Lease-based funding</t>
  </si>
  <si>
    <t>2024/25</t>
  </si>
  <si>
    <t>Lease (3 months)</t>
  </si>
  <si>
    <t>First 100</t>
  </si>
  <si>
    <t>Additional</t>
  </si>
  <si>
    <t>First 200</t>
  </si>
  <si>
    <t>Fitout (50% of annual lease)</t>
  </si>
  <si>
    <t>2024 (used for establishment fitout)</t>
  </si>
  <si>
    <t>F&amp;E</t>
  </si>
  <si>
    <t xml:space="preserve">Major Urban Centre </t>
  </si>
  <si>
    <t>ICT</t>
  </si>
  <si>
    <t xml:space="preserve">Other areas </t>
  </si>
  <si>
    <t>2024 fitout</t>
  </si>
  <si>
    <t>All locations</t>
  </si>
  <si>
    <t>2025/26</t>
  </si>
  <si>
    <t>2025 fitout (expected)</t>
  </si>
  <si>
    <t>Lease (6 months)</t>
  </si>
  <si>
    <t xml:space="preserve">Major urban centre </t>
  </si>
  <si>
    <t>Establishment ICT, per student, first 200 students</t>
  </si>
  <si>
    <t>Annual lease</t>
  </si>
  <si>
    <t>Property Maintenance Rates</t>
  </si>
  <si>
    <t>Furniture and Equipment Rates</t>
  </si>
  <si>
    <t>Lease Based Funding Rates</t>
  </si>
  <si>
    <t>UPDATE with 2025 rates</t>
  </si>
  <si>
    <t>*Sponsor owned  rates are for 2024 - will be updated in November</t>
  </si>
  <si>
    <t>Capital Maintenance - Ministry Owned</t>
  </si>
  <si>
    <t>% of full funding</t>
  </si>
  <si>
    <t>EQI Rate Table</t>
  </si>
  <si>
    <t>Data Dictionary</t>
  </si>
  <si>
    <t>Variable Name</t>
  </si>
  <si>
    <t>Description</t>
  </si>
  <si>
    <t>Allowed Values</t>
  </si>
  <si>
    <t>Notes</t>
  </si>
  <si>
    <t>Relevant Ministry Links</t>
  </si>
  <si>
    <t>Additional info</t>
  </si>
  <si>
    <t xml:space="preserve">Year of enttilement </t>
  </si>
  <si>
    <t>Whole number between 2025 - 2050</t>
  </si>
  <si>
    <t>This is the calendar/school year for which to calculate entitlement. For new schools, the Establishment funding for the preceding year will also be calculated and displayed.</t>
  </si>
  <si>
    <t>Date contract commences  - as specified in contract</t>
  </si>
  <si>
    <t>Date between the 1st of July 2024 and the 31st of December 2024 [1/7/2024 - 31/12/2024]</t>
  </si>
  <si>
    <t>Each contract will have a stipulated commencement date, this will be used to determine property funding prior to opening (for new schools not on Ministry property)</t>
  </si>
  <si>
    <t>Type of school.</t>
  </si>
  <si>
    <t>[Primary, Secondary, Composite]</t>
  </si>
  <si>
    <t>Select the appropriate type from the predefined list.Primary schools cover years 1 through 8, secondary schools encompass years 9 through 13, and composite schools include years 1 through 13.</t>
  </si>
  <si>
    <t>https://parents.education.govt.nz/primary-school/schooling-in-nz/different-types-of-primary-and-intermediate-schools/</t>
  </si>
  <si>
    <t>https://www.legislation.govt.nz/bill/government/2024/0066/latest/LMS965363.html?search=sw_096be8ed81e5a7f4_primary_25_se&amp;p=1&amp;sr=0</t>
  </si>
  <si>
    <t>Indicates whether the school is newly established.</t>
  </si>
  <si>
    <t>Yes or No</t>
  </si>
  <si>
    <t>Set to True if the school is a new school;   otherwise, set to False.</t>
  </si>
  <si>
    <t>First year of operation</t>
  </si>
  <si>
    <t>This variable input indicates the first year that the school operates as a charter school. For new charter schools, this will be the first year of operation. For converted schools, this will be the year they begin operating as a charter school.</t>
  </si>
  <si>
    <t>Type of property ownership.</t>
  </si>
  <si>
    <t>[Ministry-Owned, Sponsor-Owned, Leased From a Third Party]</t>
  </si>
  <si>
    <t>Choose the property type from the list of predefined options.</t>
  </si>
  <si>
    <t>Classification of the area where the school is located.</t>
  </si>
  <si>
    <t>[Major Urban Area, Other]</t>
  </si>
  <si>
    <t>Select the appropriate area classification.</t>
  </si>
  <si>
    <t>Equity Index of the school.</t>
  </si>
  <si>
    <t>Positive integers between 344 and 569 (e.g., 344,345,346, …)</t>
  </si>
  <si>
    <t>Enter the Equity Index as a positive integer. The 2024 average is EQI is 461.</t>
  </si>
  <si>
    <t>https://www.education.govt.nz/our-work/changes-in-education/equity-index/</t>
  </si>
  <si>
    <t>Indicates if the school is at risk of vandalism.</t>
  </si>
  <si>
    <t>[Low Risk, Medium Risk, High Risk, Critical Risk, Extreme Risk, Not Qualify]</t>
  </si>
  <si>
    <t>Ministry will provide schools vandalism risk rating</t>
  </si>
  <si>
    <t>https://www.education.govt.nz/school/funding-and-financials/resourcing/operational-funding/operational-funding-components/#Vandalism</t>
  </si>
  <si>
    <t>Indicates if the school is included in the Risk Management Scheme.</t>
  </si>
  <si>
    <t>Set to True if the school is included in the Risk Management Scheme.</t>
  </si>
  <si>
    <t>https://www.education.govt.nz/school/funding-and-financials/resourcing/operational-funding/the-risk-management-scheme-contents-and-liability-insurance/</t>
  </si>
  <si>
    <t>Indicates if the school is included in the Donations Scheme.</t>
  </si>
  <si>
    <t>Set to True if the school is included in the Donations Scheme. EQI has to be higher than 431 to be eligible for the scheme.</t>
  </si>
  <si>
    <t>https://www.education.govt.nz/school/funding-and-financials/fees-charges-and-donations/</t>
  </si>
  <si>
    <t>Isolation Index of the school.</t>
  </si>
  <si>
    <t>Positive Number between 0 and 23 (e.g., 0, 0.1,0.2 …)</t>
  </si>
  <si>
    <t>Enter the Isolation Index as a positive Number. The average Isolation index in 2024 is 0.79.</t>
  </si>
  <si>
    <t>https://www.education.govt.nz/our-work/changes-in-education/equity-index/faq-isolation-index-changes/</t>
  </si>
  <si>
    <t>School Roll By Year Level</t>
  </si>
  <si>
    <t>Number of students enrolled in the school by year level.</t>
  </si>
  <si>
    <t>Positive integers (e.g., 0, 1, 2, …)</t>
  </si>
  <si>
    <t>Enter the total number of students by each year level.</t>
  </si>
  <si>
    <t>https://www.education.govt.nz/our-work/our-role-and-our-people/education-in-nz/#:~:text=The%20education%20system%20for%20schools,%E2%80%9317%20years%20of%20age).</t>
  </si>
  <si>
    <t>Count of students in Māori Language Programmes by immersion level.</t>
  </si>
  <si>
    <t>Enter the count of students enrolled in Māori Language Programmes by level.</t>
  </si>
  <si>
    <t>https://www.education.govt.nz/school/funding-and-financials/resourcing/operational-funding/operational-funding-components/#Maori</t>
  </si>
  <si>
    <t>Count of students in Pacific Language Programmes by immersion level.</t>
  </si>
  <si>
    <t>Enter the count of students enrolled in Pacific Language Programmes by level.</t>
  </si>
  <si>
    <t>https://www.education.govt.nz/school/funding-and-financials/resourcing/operational-funding/operational-funding-components/#Pacificbilingual</t>
  </si>
  <si>
    <t>Y</t>
  </si>
  <si>
    <t>School Opening Date</t>
  </si>
  <si>
    <t>To be confirmed with the 2025 Rate</t>
  </si>
  <si>
    <t>Services Funding</t>
  </si>
  <si>
    <t>Property-based Funding</t>
  </si>
  <si>
    <t>Sub-total Before Establishment Funding</t>
  </si>
  <si>
    <t>Staffing-based Funding</t>
  </si>
  <si>
    <t>Output Calculation (GST Exclusive)</t>
  </si>
  <si>
    <t>Not Qualify</t>
  </si>
  <si>
    <t>Estimated Actual</t>
  </si>
  <si>
    <t>Effective 30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</si>
</sst>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;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  <numFmt numFmtId="166" formatCode="#,##0_ ;\-#,##0\ "/>
    <numFmt numFmtId="167" formatCode="dd\-mmm\-yyyy"/>
    <numFmt numFmtId="168" formatCode="0.0000"/>
    <numFmt numFmtId="170" formatCode="#,##0.0"/>
    <numFmt numFmtId="171" formatCode="#,##0.000"/>
    <numFmt numFmtId="172" formatCode="_-&quot;$&quot;* #,##0_-;\-&quot;$&quot;* #,##0_-;_-&quot;$&quot;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3"/>
      <name val="Aptos"/>
      <family val="2"/>
    </font>
    <font>
      <sz val="10"/>
      <color theme="3"/>
      <name val="Aptos"/>
      <family val="2"/>
    </font>
    <font>
      <b/>
      <sz val="10"/>
      <color theme="0"/>
      <name val="Aptos"/>
      <family val="2"/>
    </font>
    <font>
      <i/>
      <sz val="10"/>
      <color theme="3"/>
      <name val="Aptos"/>
      <family val="2"/>
    </font>
    <font>
      <sz val="11"/>
      <color theme="3"/>
      <name val="Aptos"/>
      <family val="2"/>
    </font>
    <font>
      <b/>
      <sz val="11"/>
      <color theme="3"/>
      <name val="Aptos"/>
      <family val="2"/>
    </font>
    <font>
      <b/>
      <sz val="14"/>
      <color theme="3"/>
      <name val="Aptos"/>
      <family val="2"/>
    </font>
    <font>
      <b/>
      <sz val="28"/>
      <color theme="3"/>
      <name val="Aptos"/>
      <family val="2"/>
    </font>
    <font>
      <b/>
      <sz val="13"/>
      <color theme="3"/>
      <name val="Aptos"/>
      <family val="2"/>
    </font>
    <font>
      <b/>
      <sz val="16"/>
      <color theme="3"/>
      <name val="Aptos"/>
      <family val="2"/>
    </font>
    <font>
      <sz val="12"/>
      <color theme="3"/>
      <name val="Aptos"/>
      <family val="2"/>
    </font>
    <font>
      <b/>
      <sz val="24"/>
      <color theme="5"/>
      <name val="Aptos"/>
      <family val="2"/>
    </font>
    <font>
      <u/>
      <sz val="10"/>
      <color theme="3"/>
      <name val="Aptos"/>
      <family val="2"/>
    </font>
    <font>
      <b/>
      <sz val="22"/>
      <color theme="5"/>
      <name val="Aptos"/>
      <family val="2"/>
    </font>
    <font>
      <sz val="11"/>
      <color rgb="FFC00000"/>
      <name val="Aptos"/>
      <family val="2"/>
    </font>
    <font>
      <sz val="10"/>
      <color theme="4"/>
      <name val="Aptos"/>
      <family val="2"/>
    </font>
    <font>
      <sz val="10"/>
      <color theme="0" tint="-4.9989318521683403E-2"/>
      <name val="Aptos"/>
      <family val="2"/>
    </font>
    <font>
      <sz val="9"/>
      <color theme="0" tint="-0.34998626667073579"/>
      <name val="Aptos"/>
      <family val="2"/>
    </font>
    <font>
      <sz val="11"/>
      <color theme="0" tint="-0.34998626667073579"/>
      <name val="Aptos"/>
      <family val="2"/>
    </font>
    <font>
      <sz val="8"/>
      <color theme="0" tint="-0.34998626667073579"/>
      <name val="Aptos"/>
      <family val="2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darkTrellis">
        <fgColor theme="8" tint="0.79998168889431442"/>
        <bgColor theme="0" tint="-4.9989318521683403E-2"/>
      </patternFill>
    </fill>
  </fills>
  <borders count="8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rgb="FF000000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auto="1"/>
      </left>
      <right style="thin">
        <color theme="3"/>
      </right>
      <top style="thin">
        <color theme="3"/>
      </top>
      <bottom/>
      <diagonal/>
    </border>
    <border>
      <left style="medium">
        <color auto="1"/>
      </left>
      <right style="thin">
        <color theme="3"/>
      </right>
      <top/>
      <bottom style="thin">
        <color theme="3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theme="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</borders>
  <cellStyleXfs count="17">
    <xf numFmtId="0" fontId="0" fillId="0" borderId="0"/>
    <xf numFmtId="0" fontId="2" fillId="0" borderId="1" applyNumberFormat="0" applyFill="0" applyAlignment="0" applyProtection="0"/>
    <xf numFmtId="0" fontId="10" fillId="2" borderId="2" applyNumberFormat="0" applyAlignment="0" applyProtection="0"/>
    <xf numFmtId="0" fontId="5" fillId="4" borderId="3" applyNumberFormat="0" applyAlignment="0" applyProtection="0"/>
    <xf numFmtId="0" fontId="6" fillId="0" borderId="0" applyNumberFormat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Alignment="0" applyProtection="0"/>
    <xf numFmtId="0" fontId="4" fillId="0" borderId="4" applyNumberFormat="0" applyAlignment="0" applyProtection="0"/>
    <xf numFmtId="0" fontId="8" fillId="0" borderId="0" applyNumberFormat="0" applyFill="0" applyBorder="0" applyAlignment="0" applyProtection="0"/>
    <xf numFmtId="0" fontId="11" fillId="7" borderId="0" applyNumberFormat="0" applyBorder="0" applyProtection="0">
      <alignment vertical="center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74" applyNumberFormat="0" applyFill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7">
    <xf numFmtId="0" fontId="0" fillId="0" borderId="0" xfId="0"/>
    <xf numFmtId="0" fontId="9" fillId="0" borderId="0" xfId="0" applyFont="1"/>
    <xf numFmtId="0" fontId="0" fillId="0" borderId="7" xfId="0" applyBorder="1"/>
    <xf numFmtId="0" fontId="0" fillId="5" borderId="0" xfId="0" applyFill="1"/>
    <xf numFmtId="0" fontId="9" fillId="5" borderId="0" xfId="0" applyFont="1" applyFill="1"/>
    <xf numFmtId="0" fontId="15" fillId="0" borderId="0" xfId="0" applyFont="1"/>
    <xf numFmtId="0" fontId="16" fillId="0" borderId="0" xfId="0" applyFont="1"/>
    <xf numFmtId="0" fontId="17" fillId="11" borderId="17" xfId="0" applyFont="1" applyFill="1" applyBorder="1"/>
    <xf numFmtId="0" fontId="17" fillId="11" borderId="18" xfId="0" applyFont="1" applyFill="1" applyBorder="1"/>
    <xf numFmtId="0" fontId="17" fillId="11" borderId="19" xfId="0" applyFont="1" applyFill="1" applyBorder="1" applyAlignment="1">
      <alignment horizontal="center" wrapText="1"/>
    </xf>
    <xf numFmtId="0" fontId="17" fillId="11" borderId="20" xfId="0" applyFont="1" applyFill="1" applyBorder="1" applyAlignment="1">
      <alignment horizontal="center" wrapText="1"/>
    </xf>
    <xf numFmtId="0" fontId="16" fillId="0" borderId="21" xfId="0" applyFont="1" applyBorder="1"/>
    <xf numFmtId="0" fontId="16" fillId="0" borderId="6" xfId="0" applyFont="1" applyBorder="1"/>
    <xf numFmtId="165" fontId="16" fillId="0" borderId="8" xfId="0" applyNumberFormat="1" applyFont="1" applyBorder="1"/>
    <xf numFmtId="0" fontId="16" fillId="0" borderId="14" xfId="0" applyFont="1" applyBorder="1"/>
    <xf numFmtId="165" fontId="16" fillId="0" borderId="6" xfId="0" applyNumberFormat="1" applyFont="1" applyBorder="1"/>
    <xf numFmtId="0" fontId="16" fillId="0" borderId="22" xfId="0" applyFont="1" applyBorder="1"/>
    <xf numFmtId="0" fontId="16" fillId="0" borderId="9" xfId="0" applyFont="1" applyBorder="1"/>
    <xf numFmtId="165" fontId="16" fillId="0" borderId="10" xfId="0" applyNumberFormat="1" applyFont="1" applyBorder="1"/>
    <xf numFmtId="0" fontId="16" fillId="0" borderId="23" xfId="0" applyFont="1" applyBorder="1"/>
    <xf numFmtId="0" fontId="16" fillId="0" borderId="24" xfId="0" applyFont="1" applyBorder="1"/>
    <xf numFmtId="165" fontId="16" fillId="0" borderId="25" xfId="0" applyNumberFormat="1" applyFont="1" applyBorder="1"/>
    <xf numFmtId="7" fontId="16" fillId="0" borderId="6" xfId="11" applyNumberFormat="1" applyFont="1" applyBorder="1"/>
    <xf numFmtId="0" fontId="18" fillId="0" borderId="0" xfId="0" applyFont="1"/>
    <xf numFmtId="165" fontId="16" fillId="0" borderId="9" xfId="0" applyNumberFormat="1" applyFont="1" applyBorder="1"/>
    <xf numFmtId="0" fontId="17" fillId="11" borderId="26" xfId="0" applyFont="1" applyFill="1" applyBorder="1"/>
    <xf numFmtId="0" fontId="17" fillId="11" borderId="27" xfId="0" applyFont="1" applyFill="1" applyBorder="1" applyAlignment="1">
      <alignment horizontal="center"/>
    </xf>
    <xf numFmtId="0" fontId="17" fillId="11" borderId="28" xfId="0" applyFont="1" applyFill="1" applyBorder="1" applyAlignment="1">
      <alignment horizontal="center" wrapText="1"/>
    </xf>
    <xf numFmtId="0" fontId="16" fillId="0" borderId="29" xfId="0" applyFont="1" applyBorder="1"/>
    <xf numFmtId="0" fontId="16" fillId="0" borderId="10" xfId="0" applyFont="1" applyBorder="1"/>
    <xf numFmtId="7" fontId="16" fillId="0" borderId="10" xfId="11" applyNumberFormat="1" applyFont="1" applyBorder="1"/>
    <xf numFmtId="7" fontId="16" fillId="0" borderId="9" xfId="11" applyNumberFormat="1" applyFont="1" applyBorder="1"/>
    <xf numFmtId="0" fontId="16" fillId="0" borderId="30" xfId="0" applyFont="1" applyBorder="1"/>
    <xf numFmtId="0" fontId="16" fillId="0" borderId="8" xfId="0" applyFont="1" applyBorder="1"/>
    <xf numFmtId="7" fontId="16" fillId="0" borderId="8" xfId="11" applyNumberFormat="1" applyFont="1" applyBorder="1"/>
    <xf numFmtId="0" fontId="17" fillId="11" borderId="31" xfId="0" applyFont="1" applyFill="1" applyBorder="1" applyAlignment="1">
      <alignment horizontal="center"/>
    </xf>
    <xf numFmtId="0" fontId="16" fillId="0" borderId="16" xfId="0" applyFont="1" applyBorder="1"/>
    <xf numFmtId="0" fontId="16" fillId="0" borderId="32" xfId="0" applyFont="1" applyBorder="1"/>
    <xf numFmtId="0" fontId="16" fillId="0" borderId="33" xfId="0" applyFont="1" applyBorder="1"/>
    <xf numFmtId="0" fontId="16" fillId="0" borderId="15" xfId="0" applyFont="1" applyBorder="1"/>
    <xf numFmtId="0" fontId="16" fillId="0" borderId="34" xfId="0" applyFont="1" applyBorder="1"/>
    <xf numFmtId="166" fontId="16" fillId="0" borderId="10" xfId="11" applyNumberFormat="1" applyFont="1" applyBorder="1"/>
    <xf numFmtId="166" fontId="16" fillId="0" borderId="9" xfId="11" applyNumberFormat="1" applyFont="1" applyBorder="1"/>
    <xf numFmtId="166" fontId="16" fillId="0" borderId="8" xfId="11" applyNumberFormat="1" applyFont="1" applyBorder="1"/>
    <xf numFmtId="166" fontId="16" fillId="0" borderId="6" xfId="11" applyNumberFormat="1" applyFont="1" applyBorder="1"/>
    <xf numFmtId="0" fontId="16" fillId="8" borderId="35" xfId="0" applyFont="1" applyFill="1" applyBorder="1"/>
    <xf numFmtId="7" fontId="16" fillId="8" borderId="24" xfId="11" applyNumberFormat="1" applyFont="1" applyFill="1" applyBorder="1"/>
    <xf numFmtId="0" fontId="17" fillId="11" borderId="31" xfId="0" applyFont="1" applyFill="1" applyBorder="1" applyAlignment="1">
      <alignment horizontal="centerContinuous"/>
    </xf>
    <xf numFmtId="0" fontId="13" fillId="0" borderId="6" xfId="0" applyFont="1" applyBorder="1" applyAlignment="1">
      <alignment vertical="center"/>
    </xf>
    <xf numFmtId="0" fontId="16" fillId="0" borderId="8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5" fillId="0" borderId="8" xfId="0" applyFont="1" applyBorder="1"/>
    <xf numFmtId="0" fontId="0" fillId="0" borderId="36" xfId="0" applyBorder="1"/>
    <xf numFmtId="0" fontId="9" fillId="0" borderId="36" xfId="0" applyFont="1" applyBorder="1"/>
    <xf numFmtId="7" fontId="16" fillId="0" borderId="7" xfId="11" applyNumberFormat="1" applyFont="1" applyBorder="1"/>
    <xf numFmtId="0" fontId="16" fillId="0" borderId="37" xfId="0" applyFont="1" applyBorder="1"/>
    <xf numFmtId="7" fontId="16" fillId="0" borderId="37" xfId="11" applyNumberFormat="1" applyFont="1" applyBorder="1"/>
    <xf numFmtId="7" fontId="16" fillId="0" borderId="23" xfId="11" applyNumberFormat="1" applyFont="1" applyBorder="1"/>
    <xf numFmtId="0" fontId="15" fillId="0" borderId="8" xfId="0" applyFont="1" applyBorder="1" applyAlignment="1">
      <alignment horizontal="left"/>
    </xf>
    <xf numFmtId="0" fontId="17" fillId="11" borderId="18" xfId="0" applyFont="1" applyFill="1" applyBorder="1" applyAlignment="1">
      <alignment horizontal="center"/>
    </xf>
    <xf numFmtId="0" fontId="16" fillId="0" borderId="11" xfId="0" applyFont="1" applyBorder="1"/>
    <xf numFmtId="7" fontId="16" fillId="0" borderId="11" xfId="11" applyNumberFormat="1" applyFont="1" applyBorder="1"/>
    <xf numFmtId="165" fontId="16" fillId="0" borderId="38" xfId="6" applyNumberFormat="1" applyFont="1" applyBorder="1"/>
    <xf numFmtId="0" fontId="16" fillId="0" borderId="39" xfId="0" applyFont="1" applyBorder="1"/>
    <xf numFmtId="7" fontId="16" fillId="0" borderId="39" xfId="11" applyNumberFormat="1" applyFont="1" applyBorder="1"/>
    <xf numFmtId="7" fontId="16" fillId="0" borderId="16" xfId="11" applyNumberFormat="1" applyFont="1" applyBorder="1"/>
    <xf numFmtId="7" fontId="16" fillId="0" borderId="40" xfId="11" applyNumberFormat="1" applyFont="1" applyBorder="1"/>
    <xf numFmtId="0" fontId="16" fillId="5" borderId="10" xfId="0" applyFont="1" applyFill="1" applyBorder="1"/>
    <xf numFmtId="7" fontId="16" fillId="5" borderId="10" xfId="11" applyNumberFormat="1" applyFont="1" applyFill="1" applyBorder="1"/>
    <xf numFmtId="0" fontId="16" fillId="0" borderId="10" xfId="11" applyNumberFormat="1" applyFont="1" applyBorder="1"/>
    <xf numFmtId="0" fontId="16" fillId="5" borderId="10" xfId="11" applyNumberFormat="1" applyFont="1" applyFill="1" applyBorder="1"/>
    <xf numFmtId="0" fontId="17" fillId="11" borderId="27" xfId="0" applyFont="1" applyFill="1" applyBorder="1" applyAlignment="1">
      <alignment horizontal="center" wrapText="1"/>
    </xf>
    <xf numFmtId="0" fontId="14" fillId="11" borderId="41" xfId="0" applyFont="1" applyFill="1" applyBorder="1"/>
    <xf numFmtId="9" fontId="16" fillId="0" borderId="9" xfId="12" applyFont="1" applyBorder="1"/>
    <xf numFmtId="9" fontId="16" fillId="5" borderId="9" xfId="12" applyFont="1" applyFill="1" applyBorder="1"/>
    <xf numFmtId="0" fontId="16" fillId="5" borderId="39" xfId="0" applyFont="1" applyFill="1" applyBorder="1"/>
    <xf numFmtId="7" fontId="16" fillId="5" borderId="39" xfId="11" applyNumberFormat="1" applyFont="1" applyFill="1" applyBorder="1"/>
    <xf numFmtId="0" fontId="16" fillId="5" borderId="39" xfId="11" applyNumberFormat="1" applyFont="1" applyFill="1" applyBorder="1"/>
    <xf numFmtId="9" fontId="16" fillId="5" borderId="13" xfId="12" applyFont="1" applyFill="1" applyBorder="1"/>
    <xf numFmtId="0" fontId="17" fillId="11" borderId="9" xfId="0" applyFont="1" applyFill="1" applyBorder="1"/>
    <xf numFmtId="7" fontId="16" fillId="0" borderId="15" xfId="11" applyNumberFormat="1" applyFont="1" applyBorder="1"/>
    <xf numFmtId="0" fontId="17" fillId="11" borderId="12" xfId="0" applyFont="1" applyFill="1" applyBorder="1"/>
    <xf numFmtId="0" fontId="17" fillId="11" borderId="43" xfId="0" applyFont="1" applyFill="1" applyBorder="1" applyAlignment="1">
      <alignment horizontal="center"/>
    </xf>
    <xf numFmtId="0" fontId="17" fillId="11" borderId="42" xfId="0" applyFont="1" applyFill="1" applyBorder="1" applyAlignment="1">
      <alignment horizontal="center"/>
    </xf>
    <xf numFmtId="0" fontId="17" fillId="11" borderId="41" xfId="0" applyFont="1" applyFill="1" applyBorder="1"/>
    <xf numFmtId="7" fontId="16" fillId="0" borderId="0" xfId="11" applyNumberFormat="1" applyFont="1" applyBorder="1"/>
    <xf numFmtId="8" fontId="0" fillId="0" borderId="0" xfId="0" applyNumberFormat="1"/>
    <xf numFmtId="0" fontId="16" fillId="3" borderId="0" xfId="0" applyFont="1" applyFill="1"/>
    <xf numFmtId="0" fontId="17" fillId="11" borderId="27" xfId="0" applyFont="1" applyFill="1" applyBorder="1"/>
    <xf numFmtId="0" fontId="17" fillId="11" borderId="28" xfId="0" applyFont="1" applyFill="1" applyBorder="1"/>
    <xf numFmtId="0" fontId="16" fillId="0" borderId="54" xfId="0" applyFont="1" applyBorder="1"/>
    <xf numFmtId="0" fontId="16" fillId="0" borderId="54" xfId="0" applyFont="1" applyBorder="1" applyAlignment="1">
      <alignment horizontal="center"/>
    </xf>
    <xf numFmtId="165" fontId="16" fillId="0" borderId="55" xfId="6" applyNumberFormat="1" applyFont="1" applyBorder="1"/>
    <xf numFmtId="0" fontId="16" fillId="0" borderId="56" xfId="0" applyFont="1" applyBorder="1"/>
    <xf numFmtId="0" fontId="16" fillId="0" borderId="56" xfId="0" applyFont="1" applyBorder="1" applyAlignment="1">
      <alignment horizontal="center"/>
    </xf>
    <xf numFmtId="165" fontId="16" fillId="0" borderId="57" xfId="6" applyNumberFormat="1" applyFont="1" applyBorder="1"/>
    <xf numFmtId="0" fontId="16" fillId="0" borderId="58" xfId="0" applyFont="1" applyBorder="1"/>
    <xf numFmtId="0" fontId="16" fillId="0" borderId="58" xfId="0" applyFont="1" applyBorder="1" applyAlignment="1">
      <alignment horizontal="center"/>
    </xf>
    <xf numFmtId="165" fontId="16" fillId="0" borderId="13" xfId="0" applyNumberFormat="1" applyFont="1" applyBorder="1"/>
    <xf numFmtId="7" fontId="16" fillId="3" borderId="0" xfId="0" applyNumberFormat="1" applyFont="1" applyFill="1"/>
    <xf numFmtId="164" fontId="16" fillId="3" borderId="0" xfId="6" applyNumberFormat="1" applyFont="1" applyFill="1"/>
    <xf numFmtId="0" fontId="15" fillId="12" borderId="46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Protection="1">
      <protection locked="0"/>
    </xf>
    <xf numFmtId="0" fontId="16" fillId="3" borderId="0" xfId="0" applyFont="1" applyFill="1" applyProtection="1">
      <protection locked="0"/>
    </xf>
    <xf numFmtId="0" fontId="15" fillId="13" borderId="45" xfId="0" applyFont="1" applyFill="1" applyBorder="1" applyAlignment="1">
      <alignment wrapText="1"/>
    </xf>
    <xf numFmtId="0" fontId="21" fillId="3" borderId="0" xfId="0" applyFont="1" applyFill="1" applyProtection="1">
      <protection locked="0"/>
    </xf>
    <xf numFmtId="0" fontId="16" fillId="3" borderId="45" xfId="0" applyFont="1" applyFill="1" applyBorder="1" applyAlignment="1">
      <alignment vertical="center" wrapText="1"/>
    </xf>
    <xf numFmtId="0" fontId="16" fillId="3" borderId="45" xfId="0" applyFont="1" applyFill="1" applyBorder="1" applyAlignment="1">
      <alignment horizontal="left" vertical="center" wrapText="1"/>
    </xf>
    <xf numFmtId="0" fontId="16" fillId="3" borderId="45" xfId="0" applyFont="1" applyFill="1" applyBorder="1" applyAlignment="1">
      <alignment horizontal="left" wrapText="1"/>
    </xf>
    <xf numFmtId="0" fontId="27" fillId="3" borderId="45" xfId="9" applyFont="1" applyFill="1" applyBorder="1" applyAlignment="1">
      <alignment horizontal="left" vertical="center" wrapText="1"/>
    </xf>
    <xf numFmtId="0" fontId="27" fillId="3" borderId="45" xfId="9" applyFont="1" applyFill="1" applyBorder="1" applyAlignment="1">
      <alignment horizontal="left" wrapText="1"/>
    </xf>
    <xf numFmtId="0" fontId="16" fillId="3" borderId="45" xfId="0" applyFont="1" applyFill="1" applyBorder="1" applyAlignment="1">
      <alignment vertical="center"/>
    </xf>
    <xf numFmtId="0" fontId="19" fillId="6" borderId="0" xfId="0" applyFont="1" applyFill="1" applyProtection="1">
      <protection hidden="1"/>
    </xf>
    <xf numFmtId="0" fontId="19" fillId="3" borderId="0" xfId="0" applyFont="1" applyFill="1" applyProtection="1">
      <protection hidden="1"/>
    </xf>
    <xf numFmtId="0" fontId="22" fillId="8" borderId="0" xfId="1" applyFont="1" applyFill="1" applyBorder="1" applyProtection="1">
      <protection hidden="1"/>
    </xf>
    <xf numFmtId="0" fontId="19" fillId="8" borderId="0" xfId="0" applyFont="1" applyFill="1" applyProtection="1">
      <protection hidden="1"/>
    </xf>
    <xf numFmtId="0" fontId="26" fillId="8" borderId="59" xfId="5" applyFont="1" applyFill="1" applyBorder="1" applyAlignment="1" applyProtection="1">
      <alignment horizontal="left" indent="1"/>
      <protection hidden="1"/>
    </xf>
    <xf numFmtId="0" fontId="19" fillId="8" borderId="60" xfId="0" applyFont="1" applyFill="1" applyBorder="1" applyProtection="1">
      <protection hidden="1"/>
    </xf>
    <xf numFmtId="0" fontId="23" fillId="8" borderId="60" xfId="1" applyFont="1" applyFill="1" applyBorder="1" applyProtection="1">
      <protection hidden="1"/>
    </xf>
    <xf numFmtId="0" fontId="18" fillId="8" borderId="59" xfId="5" applyFont="1" applyFill="1" applyBorder="1" applyAlignment="1" applyProtection="1">
      <alignment horizontal="right"/>
      <protection hidden="1"/>
    </xf>
    <xf numFmtId="0" fontId="19" fillId="8" borderId="61" xfId="0" applyFont="1" applyFill="1" applyBorder="1" applyProtection="1">
      <protection hidden="1"/>
    </xf>
    <xf numFmtId="0" fontId="26" fillId="8" borderId="5" xfId="5" applyFont="1" applyFill="1" applyBorder="1" applyAlignment="1" applyProtection="1">
      <alignment horizontal="left" indent="1"/>
      <protection hidden="1"/>
    </xf>
    <xf numFmtId="0" fontId="23" fillId="8" borderId="0" xfId="1" applyFont="1" applyFill="1" applyBorder="1" applyProtection="1">
      <protection hidden="1"/>
    </xf>
    <xf numFmtId="0" fontId="18" fillId="8" borderId="0" xfId="5" applyFont="1" applyFill="1" applyBorder="1" applyAlignment="1" applyProtection="1">
      <alignment horizontal="right"/>
      <protection hidden="1"/>
    </xf>
    <xf numFmtId="0" fontId="19" fillId="8" borderId="62" xfId="0" applyFont="1" applyFill="1" applyBorder="1" applyProtection="1">
      <protection hidden="1"/>
    </xf>
    <xf numFmtId="0" fontId="15" fillId="8" borderId="5" xfId="5" applyFont="1" applyFill="1" applyBorder="1" applyAlignment="1" applyProtection="1">
      <alignment horizontal="left" indent="1"/>
      <protection hidden="1"/>
    </xf>
    <xf numFmtId="0" fontId="15" fillId="8" borderId="0" xfId="5" applyFont="1" applyFill="1" applyBorder="1" applyAlignment="1" applyProtection="1">
      <protection hidden="1"/>
    </xf>
    <xf numFmtId="0" fontId="16" fillId="3" borderId="48" xfId="0" applyFont="1" applyFill="1" applyBorder="1" applyAlignment="1" applyProtection="1">
      <alignment horizontal="center" wrapText="1"/>
      <protection hidden="1"/>
    </xf>
    <xf numFmtId="0" fontId="19" fillId="8" borderId="5" xfId="0" applyFont="1" applyFill="1" applyBorder="1" applyProtection="1">
      <protection hidden="1"/>
    </xf>
    <xf numFmtId="0" fontId="19" fillId="8" borderId="66" xfId="0" applyFont="1" applyFill="1" applyBorder="1" applyProtection="1">
      <protection hidden="1"/>
    </xf>
    <xf numFmtId="0" fontId="19" fillId="8" borderId="67" xfId="0" applyFont="1" applyFill="1" applyBorder="1" applyProtection="1">
      <protection hidden="1"/>
    </xf>
    <xf numFmtId="0" fontId="19" fillId="8" borderId="68" xfId="0" applyFont="1" applyFill="1" applyBorder="1" applyProtection="1">
      <protection hidden="1"/>
    </xf>
    <xf numFmtId="0" fontId="19" fillId="14" borderId="60" xfId="0" applyFont="1" applyFill="1" applyBorder="1" applyProtection="1">
      <protection hidden="1"/>
    </xf>
    <xf numFmtId="0" fontId="19" fillId="14" borderId="60" xfId="0" quotePrefix="1" applyFont="1" applyFill="1" applyBorder="1" applyProtection="1">
      <protection hidden="1"/>
    </xf>
    <xf numFmtId="0" fontId="19" fillId="14" borderId="61" xfId="0" applyFont="1" applyFill="1" applyBorder="1" applyProtection="1">
      <protection hidden="1"/>
    </xf>
    <xf numFmtId="0" fontId="19" fillId="9" borderId="0" xfId="0" applyFont="1" applyFill="1" applyProtection="1">
      <protection hidden="1"/>
    </xf>
    <xf numFmtId="0" fontId="15" fillId="9" borderId="0" xfId="0" applyFont="1" applyFill="1" applyProtection="1">
      <protection hidden="1"/>
    </xf>
    <xf numFmtId="0" fontId="19" fillId="9" borderId="62" xfId="0" applyFont="1" applyFill="1" applyBorder="1" applyProtection="1">
      <protection hidden="1"/>
    </xf>
    <xf numFmtId="0" fontId="16" fillId="9" borderId="0" xfId="0" applyFont="1" applyFill="1" applyProtection="1">
      <protection hidden="1"/>
    </xf>
    <xf numFmtId="0" fontId="16" fillId="9" borderId="53" xfId="0" applyFont="1" applyFill="1" applyBorder="1" applyProtection="1">
      <protection hidden="1"/>
    </xf>
    <xf numFmtId="5" fontId="16" fillId="9" borderId="53" xfId="11" applyNumberFormat="1" applyFont="1" applyFill="1" applyBorder="1" applyProtection="1">
      <protection hidden="1"/>
    </xf>
    <xf numFmtId="0" fontId="19" fillId="9" borderId="53" xfId="0" applyFont="1" applyFill="1" applyBorder="1" applyProtection="1">
      <protection hidden="1"/>
    </xf>
    <xf numFmtId="0" fontId="19" fillId="9" borderId="52" xfId="0" applyFont="1" applyFill="1" applyBorder="1" applyProtection="1">
      <protection hidden="1"/>
    </xf>
    <xf numFmtId="5" fontId="16" fillId="9" borderId="0" xfId="11" applyNumberFormat="1" applyFont="1" applyFill="1" applyBorder="1" applyProtection="1">
      <protection hidden="1"/>
    </xf>
    <xf numFmtId="0" fontId="19" fillId="9" borderId="73" xfId="0" applyFont="1" applyFill="1" applyBorder="1" applyProtection="1">
      <protection hidden="1"/>
    </xf>
    <xf numFmtId="168" fontId="19" fillId="9" borderId="62" xfId="0" applyNumberFormat="1" applyFont="1" applyFill="1" applyBorder="1" applyProtection="1">
      <protection hidden="1"/>
    </xf>
    <xf numFmtId="0" fontId="19" fillId="9" borderId="44" xfId="0" applyFont="1" applyFill="1" applyBorder="1" applyProtection="1">
      <protection hidden="1"/>
    </xf>
    <xf numFmtId="0" fontId="16" fillId="9" borderId="44" xfId="0" applyFont="1" applyFill="1" applyBorder="1" applyProtection="1">
      <protection hidden="1"/>
    </xf>
    <xf numFmtId="0" fontId="19" fillId="9" borderId="49" xfId="0" applyFont="1" applyFill="1" applyBorder="1" applyProtection="1">
      <protection hidden="1"/>
    </xf>
    <xf numFmtId="164" fontId="19" fillId="9" borderId="73" xfId="0" applyNumberFormat="1" applyFont="1" applyFill="1" applyBorder="1" applyProtection="1">
      <protection hidden="1"/>
    </xf>
    <xf numFmtId="1" fontId="16" fillId="9" borderId="0" xfId="0" applyNumberFormat="1" applyFont="1" applyFill="1" applyProtection="1">
      <protection hidden="1"/>
    </xf>
    <xf numFmtId="5" fontId="16" fillId="9" borderId="73" xfId="11" applyNumberFormat="1" applyFont="1" applyFill="1" applyBorder="1" applyProtection="1">
      <protection hidden="1"/>
    </xf>
    <xf numFmtId="0" fontId="19" fillId="9" borderId="66" xfId="0" applyFont="1" applyFill="1" applyBorder="1" applyProtection="1">
      <protection hidden="1"/>
    </xf>
    <xf numFmtId="164" fontId="19" fillId="9" borderId="67" xfId="0" applyNumberFormat="1" applyFont="1" applyFill="1" applyBorder="1" applyProtection="1">
      <protection hidden="1"/>
    </xf>
    <xf numFmtId="0" fontId="19" fillId="9" borderId="67" xfId="0" applyFont="1" applyFill="1" applyBorder="1" applyProtection="1">
      <protection hidden="1"/>
    </xf>
    <xf numFmtId="0" fontId="19" fillId="9" borderId="68" xfId="0" applyFont="1" applyFill="1" applyBorder="1" applyProtection="1">
      <protection hidden="1"/>
    </xf>
    <xf numFmtId="0" fontId="19" fillId="8" borderId="0" xfId="0" quotePrefix="1" applyFont="1" applyFill="1" applyProtection="1">
      <protection hidden="1"/>
    </xf>
    <xf numFmtId="0" fontId="28" fillId="14" borderId="59" xfId="5" applyFont="1" applyFill="1" applyBorder="1" applyAlignment="1" applyProtection="1">
      <alignment horizontal="left" vertical="center" indent="1"/>
      <protection hidden="1"/>
    </xf>
    <xf numFmtId="0" fontId="25" fillId="9" borderId="5" xfId="0" applyFont="1" applyFill="1" applyBorder="1" applyAlignment="1" applyProtection="1">
      <alignment vertical="center"/>
      <protection hidden="1"/>
    </xf>
    <xf numFmtId="3" fontId="20" fillId="9" borderId="0" xfId="0" applyNumberFormat="1" applyFont="1" applyFill="1" applyProtection="1">
      <protection hidden="1"/>
    </xf>
    <xf numFmtId="7" fontId="16" fillId="5" borderId="0" xfId="11" applyNumberFormat="1" applyFont="1" applyFill="1" applyBorder="1"/>
    <xf numFmtId="0" fontId="16" fillId="5" borderId="0" xfId="0" applyFont="1" applyFill="1"/>
    <xf numFmtId="0" fontId="29" fillId="3" borderId="0" xfId="0" applyFont="1" applyFill="1" applyProtection="1">
      <protection hidden="1"/>
    </xf>
    <xf numFmtId="0" fontId="29" fillId="8" borderId="0" xfId="0" applyFont="1" applyFill="1" applyProtection="1">
      <protection hidden="1"/>
    </xf>
    <xf numFmtId="0" fontId="22" fillId="6" borderId="0" xfId="1" applyFont="1" applyFill="1" applyBorder="1" applyAlignment="1" applyProtection="1">
      <alignment vertical="center"/>
      <protection hidden="1"/>
    </xf>
    <xf numFmtId="0" fontId="19" fillId="9" borderId="0" xfId="0" applyFont="1" applyFill="1" applyBorder="1" applyProtection="1">
      <protection hidden="1"/>
    </xf>
    <xf numFmtId="0" fontId="16" fillId="9" borderId="0" xfId="0" applyFont="1" applyFill="1" applyBorder="1" applyProtection="1">
      <protection hidden="1"/>
    </xf>
    <xf numFmtId="0" fontId="19" fillId="14" borderId="0" xfId="0" quotePrefix="1" applyFont="1" applyFill="1" applyBorder="1" applyProtection="1">
      <protection hidden="1"/>
    </xf>
    <xf numFmtId="0" fontId="19" fillId="14" borderId="0" xfId="0" applyFont="1" applyFill="1" applyBorder="1" applyProtection="1">
      <protection hidden="1"/>
    </xf>
    <xf numFmtId="0" fontId="19" fillId="14" borderId="62" xfId="0" applyFont="1" applyFill="1" applyBorder="1" applyProtection="1">
      <protection hidden="1"/>
    </xf>
    <xf numFmtId="0" fontId="24" fillId="10" borderId="75" xfId="0" applyFont="1" applyFill="1" applyBorder="1" applyAlignment="1" applyProtection="1">
      <alignment vertical="center"/>
      <protection hidden="1"/>
    </xf>
    <xf numFmtId="0" fontId="24" fillId="10" borderId="76" xfId="0" applyFont="1" applyFill="1" applyBorder="1" applyAlignment="1" applyProtection="1">
      <alignment vertical="center"/>
      <protection hidden="1"/>
    </xf>
    <xf numFmtId="0" fontId="16" fillId="9" borderId="70" xfId="0" applyFont="1" applyFill="1" applyBorder="1" applyAlignment="1" applyProtection="1">
      <alignment horizontal="left" indent="1"/>
      <protection hidden="1"/>
    </xf>
    <xf numFmtId="0" fontId="16" fillId="9" borderId="72" xfId="0" applyFont="1" applyFill="1" applyBorder="1" applyAlignment="1" applyProtection="1">
      <alignment horizontal="left" indent="1"/>
      <protection hidden="1"/>
    </xf>
    <xf numFmtId="0" fontId="19" fillId="9" borderId="71" xfId="0" applyFont="1" applyFill="1" applyBorder="1" applyAlignment="1" applyProtection="1">
      <alignment horizontal="left" indent="1"/>
      <protection hidden="1"/>
    </xf>
    <xf numFmtId="0" fontId="19" fillId="9" borderId="72" xfId="0" applyFont="1" applyFill="1" applyBorder="1" applyAlignment="1" applyProtection="1">
      <alignment horizontal="left" indent="1"/>
      <protection hidden="1"/>
    </xf>
    <xf numFmtId="0" fontId="19" fillId="9" borderId="0" xfId="0" applyFont="1" applyFill="1" applyAlignment="1" applyProtection="1">
      <alignment horizontal="left" indent="1"/>
      <protection hidden="1"/>
    </xf>
    <xf numFmtId="0" fontId="15" fillId="8" borderId="0" xfId="1" applyFont="1" applyFill="1" applyBorder="1" applyProtection="1">
      <protection hidden="1"/>
    </xf>
    <xf numFmtId="0" fontId="16" fillId="8" borderId="0" xfId="0" applyFont="1" applyFill="1" applyProtection="1">
      <protection hidden="1"/>
    </xf>
    <xf numFmtId="0" fontId="16" fillId="3" borderId="63" xfId="0" applyFont="1" applyFill="1" applyBorder="1" applyAlignment="1" applyProtection="1">
      <alignment horizontal="left" indent="1"/>
      <protection hidden="1"/>
    </xf>
    <xf numFmtId="0" fontId="16" fillId="8" borderId="45" xfId="2" applyNumberFormat="1" applyFont="1" applyFill="1" applyBorder="1" applyAlignment="1" applyProtection="1">
      <alignment horizontal="right" indent="1"/>
      <protection locked="0"/>
    </xf>
    <xf numFmtId="0" fontId="30" fillId="8" borderId="0" xfId="0" applyFont="1" applyFill="1" applyAlignment="1" applyProtection="1">
      <alignment horizontal="left"/>
      <protection hidden="1"/>
    </xf>
    <xf numFmtId="0" fontId="15" fillId="3" borderId="52" xfId="0" applyFont="1" applyFill="1" applyBorder="1" applyAlignment="1" applyProtection="1">
      <alignment horizontal="left" vertical="center" indent="1"/>
      <protection hidden="1"/>
    </xf>
    <xf numFmtId="0" fontId="16" fillId="3" borderId="45" xfId="0" applyFont="1" applyFill="1" applyBorder="1" applyAlignment="1" applyProtection="1">
      <alignment horizontal="centerContinuous"/>
      <protection hidden="1"/>
    </xf>
    <xf numFmtId="0" fontId="15" fillId="3" borderId="45" xfId="0" applyFont="1" applyFill="1" applyBorder="1" applyAlignment="1" applyProtection="1">
      <alignment horizontal="left" indent="1"/>
      <protection hidden="1"/>
    </xf>
    <xf numFmtId="0" fontId="16" fillId="8" borderId="45" xfId="0" applyFont="1" applyFill="1" applyBorder="1" applyAlignment="1" applyProtection="1">
      <alignment horizontal="right"/>
      <protection hidden="1"/>
    </xf>
    <xf numFmtId="167" fontId="16" fillId="12" borderId="45" xfId="2" applyNumberFormat="1" applyFont="1" applyFill="1" applyBorder="1" applyAlignment="1" applyProtection="1">
      <alignment horizontal="right" indent="1"/>
      <protection locked="0"/>
    </xf>
    <xf numFmtId="0" fontId="15" fillId="3" borderId="49" xfId="0" applyFont="1" applyFill="1" applyBorder="1" applyAlignment="1" applyProtection="1">
      <alignment horizontal="left" vertical="center" indent="1"/>
      <protection hidden="1"/>
    </xf>
    <xf numFmtId="0" fontId="31" fillId="8" borderId="0" xfId="0" applyFont="1" applyFill="1" applyAlignment="1" applyProtection="1">
      <alignment horizontal="left"/>
      <protection hidden="1"/>
    </xf>
    <xf numFmtId="0" fontId="16" fillId="3" borderId="50" xfId="0" applyFont="1" applyFill="1" applyBorder="1" applyAlignment="1" applyProtection="1">
      <alignment horizontal="left" indent="1"/>
      <protection hidden="1"/>
    </xf>
    <xf numFmtId="0" fontId="16" fillId="3" borderId="51" xfId="0" applyFont="1" applyFill="1" applyBorder="1" applyAlignment="1" applyProtection="1">
      <alignment horizontal="left" indent="1"/>
      <protection hidden="1"/>
    </xf>
    <xf numFmtId="0" fontId="16" fillId="12" borderId="45" xfId="2" applyNumberFormat="1" applyFont="1" applyFill="1" applyBorder="1" applyAlignment="1" applyProtection="1">
      <alignment horizontal="right"/>
      <protection locked="0"/>
    </xf>
    <xf numFmtId="0" fontId="16" fillId="12" borderId="49" xfId="2" applyNumberFormat="1" applyFont="1" applyFill="1" applyBorder="1" applyAlignment="1" applyProtection="1">
      <alignment horizontal="right"/>
      <protection locked="0"/>
    </xf>
    <xf numFmtId="44" fontId="16" fillId="12" borderId="45" xfId="2" applyNumberFormat="1" applyFont="1" applyFill="1" applyBorder="1" applyAlignment="1" applyProtection="1">
      <alignment horizontal="right" indent="1"/>
      <protection locked="0"/>
    </xf>
    <xf numFmtId="0" fontId="15" fillId="3" borderId="70" xfId="0" applyFont="1" applyFill="1" applyBorder="1" applyAlignment="1" applyProtection="1">
      <alignment horizontal="left" vertical="center" wrapText="1"/>
      <protection hidden="1"/>
    </xf>
    <xf numFmtId="0" fontId="15" fillId="3" borderId="52" xfId="0" applyFont="1" applyFill="1" applyBorder="1" applyAlignment="1" applyProtection="1">
      <alignment horizontal="left" vertical="center" wrapText="1"/>
      <protection hidden="1"/>
    </xf>
    <xf numFmtId="0" fontId="16" fillId="3" borderId="51" xfId="0" applyFont="1" applyFill="1" applyBorder="1" applyAlignment="1" applyProtection="1">
      <alignment horizontal="center"/>
      <protection hidden="1"/>
    </xf>
    <xf numFmtId="0" fontId="16" fillId="3" borderId="45" xfId="0" applyFont="1" applyFill="1" applyBorder="1" applyAlignment="1" applyProtection="1">
      <alignment horizontal="center"/>
      <protection hidden="1"/>
    </xf>
    <xf numFmtId="0" fontId="16" fillId="12" borderId="45" xfId="0" applyFont="1" applyFill="1" applyBorder="1" applyAlignment="1" applyProtection="1">
      <alignment horizontal="right" indent="1"/>
      <protection locked="0"/>
    </xf>
    <xf numFmtId="0" fontId="15" fillId="3" borderId="71" xfId="0" applyFont="1" applyFill="1" applyBorder="1" applyAlignment="1" applyProtection="1">
      <alignment horizontal="left" vertical="center" wrapText="1"/>
      <protection hidden="1"/>
    </xf>
    <xf numFmtId="0" fontId="15" fillId="3" borderId="49" xfId="0" applyFont="1" applyFill="1" applyBorder="1" applyAlignment="1" applyProtection="1">
      <alignment horizontal="left" vertical="center" wrapText="1"/>
      <protection hidden="1"/>
    </xf>
    <xf numFmtId="0" fontId="16" fillId="8" borderId="45" xfId="0" applyFont="1" applyFill="1" applyBorder="1" applyAlignment="1" applyProtection="1">
      <alignment horizontal="right" indent="1"/>
      <protection locked="0"/>
    </xf>
    <xf numFmtId="0" fontId="16" fillId="3" borderId="64" xfId="0" applyFont="1" applyFill="1" applyBorder="1" applyAlignment="1" applyProtection="1">
      <alignment horizontal="left" indent="1"/>
      <protection hidden="1"/>
    </xf>
    <xf numFmtId="0" fontId="16" fillId="3" borderId="65" xfId="0" applyFont="1" applyFill="1" applyBorder="1" applyProtection="1">
      <protection hidden="1"/>
    </xf>
    <xf numFmtId="0" fontId="15" fillId="3" borderId="50" xfId="0" applyFont="1" applyFill="1" applyBorder="1" applyAlignment="1" applyProtection="1">
      <alignment horizontal="left" indent="1"/>
      <protection hidden="1"/>
    </xf>
    <xf numFmtId="0" fontId="15" fillId="3" borderId="51" xfId="0" applyFont="1" applyFill="1" applyBorder="1" applyAlignment="1" applyProtection="1">
      <alignment horizontal="left" indent="1"/>
      <protection hidden="1"/>
    </xf>
    <xf numFmtId="0" fontId="16" fillId="12" borderId="45" xfId="2" applyNumberFormat="1" applyFont="1" applyFill="1" applyBorder="1" applyAlignment="1" applyProtection="1">
      <alignment horizontal="right" indent="1"/>
      <protection locked="0"/>
    </xf>
    <xf numFmtId="2" fontId="16" fillId="12" borderId="45" xfId="2" applyNumberFormat="1" applyFont="1" applyFill="1" applyBorder="1" applyAlignment="1" applyProtection="1">
      <alignment horizontal="right" indent="1"/>
      <protection locked="0"/>
    </xf>
    <xf numFmtId="0" fontId="15" fillId="8" borderId="0" xfId="0" applyFont="1" applyFill="1" applyProtection="1">
      <protection hidden="1"/>
    </xf>
    <xf numFmtId="0" fontId="16" fillId="8" borderId="51" xfId="0" applyFont="1" applyFill="1" applyBorder="1" applyAlignment="1" applyProtection="1">
      <alignment horizontal="right"/>
      <protection hidden="1"/>
    </xf>
    <xf numFmtId="0" fontId="15" fillId="3" borderId="69" xfId="0" applyFont="1" applyFill="1" applyBorder="1" applyProtection="1">
      <protection hidden="1"/>
    </xf>
    <xf numFmtId="0" fontId="16" fillId="3" borderId="63" xfId="0" applyFont="1" applyFill="1" applyBorder="1" applyAlignment="1" applyProtection="1">
      <alignment horizontal="left" vertical="center" indent="1"/>
      <protection hidden="1"/>
    </xf>
    <xf numFmtId="0" fontId="16" fillId="10" borderId="63" xfId="0" applyFont="1" applyFill="1" applyBorder="1" applyAlignment="1" applyProtection="1">
      <alignment vertical="center"/>
      <protection hidden="1"/>
    </xf>
    <xf numFmtId="0" fontId="15" fillId="10" borderId="69" xfId="0" applyFont="1" applyFill="1" applyBorder="1" applyAlignment="1" applyProtection="1">
      <alignment vertical="center"/>
      <protection hidden="1"/>
    </xf>
    <xf numFmtId="0" fontId="16" fillId="10" borderId="69" xfId="0" applyFont="1" applyFill="1" applyBorder="1" applyAlignment="1" applyProtection="1">
      <alignment vertical="center"/>
      <protection hidden="1"/>
    </xf>
    <xf numFmtId="0" fontId="32" fillId="3" borderId="0" xfId="0" applyFont="1" applyFill="1" applyProtection="1">
      <protection hidden="1"/>
    </xf>
    <xf numFmtId="0" fontId="32" fillId="3" borderId="67" xfId="0" applyFont="1" applyFill="1" applyBorder="1" applyAlignment="1" applyProtection="1">
      <alignment wrapText="1"/>
      <protection hidden="1"/>
    </xf>
    <xf numFmtId="0" fontId="32" fillId="3" borderId="0" xfId="0" applyFont="1" applyFill="1" applyAlignment="1" applyProtection="1">
      <alignment horizontal="right"/>
      <protection hidden="1"/>
    </xf>
    <xf numFmtId="0" fontId="33" fillId="3" borderId="0" xfId="0" applyFont="1" applyFill="1" applyProtection="1">
      <protection hidden="1"/>
    </xf>
    <xf numFmtId="7" fontId="33" fillId="3" borderId="0" xfId="0" applyNumberFormat="1" applyFont="1" applyFill="1" applyProtection="1">
      <protection hidden="1"/>
    </xf>
    <xf numFmtId="172" fontId="34" fillId="3" borderId="0" xfId="11" applyNumberFormat="1" applyFont="1" applyFill="1" applyAlignment="1" applyProtection="1">
      <alignment horizontal="left" indent="6"/>
      <protection hidden="1"/>
    </xf>
    <xf numFmtId="170" fontId="33" fillId="3" borderId="0" xfId="0" applyNumberFormat="1" applyFont="1" applyFill="1" applyProtection="1">
      <protection hidden="1"/>
    </xf>
    <xf numFmtId="171" fontId="33" fillId="3" borderId="0" xfId="0" applyNumberFormat="1" applyFont="1" applyFill="1" applyProtection="1">
      <protection hidden="1"/>
    </xf>
    <xf numFmtId="0" fontId="33" fillId="8" borderId="0" xfId="0" applyFont="1" applyFill="1" applyProtection="1">
      <protection hidden="1"/>
    </xf>
    <xf numFmtId="0" fontId="16" fillId="9" borderId="0" xfId="0" applyFont="1" applyFill="1" applyBorder="1" applyAlignment="1" applyProtection="1">
      <alignment wrapText="1"/>
      <protection hidden="1"/>
    </xf>
    <xf numFmtId="5" fontId="16" fillId="9" borderId="0" xfId="11" applyNumberFormat="1" applyFont="1" applyFill="1" applyBorder="1" applyAlignment="1" applyProtection="1">
      <alignment wrapText="1"/>
      <protection hidden="1"/>
    </xf>
    <xf numFmtId="0" fontId="16" fillId="10" borderId="80" xfId="0" applyFont="1" applyFill="1" applyBorder="1" applyAlignment="1" applyProtection="1">
      <alignment horizontal="center" wrapText="1"/>
      <protection hidden="1"/>
    </xf>
    <xf numFmtId="0" fontId="16" fillId="10" borderId="51" xfId="0" applyFont="1" applyFill="1" applyBorder="1" applyAlignment="1" applyProtection="1">
      <alignment horizontal="center" vertical="center" wrapText="1"/>
      <protection hidden="1"/>
    </xf>
    <xf numFmtId="0" fontId="16" fillId="10" borderId="81" xfId="0" applyFont="1" applyFill="1" applyBorder="1" applyAlignment="1" applyProtection="1">
      <alignment horizontal="center" vertical="center" wrapText="1"/>
      <protection hidden="1"/>
    </xf>
    <xf numFmtId="0" fontId="16" fillId="3" borderId="80" xfId="0" applyFont="1" applyFill="1" applyBorder="1" applyProtection="1">
      <protection hidden="1"/>
    </xf>
    <xf numFmtId="0" fontId="16" fillId="16" borderId="45" xfId="0" applyFont="1" applyFill="1" applyBorder="1" applyProtection="1">
      <protection hidden="1"/>
    </xf>
    <xf numFmtId="0" fontId="16" fillId="3" borderId="81" xfId="0" applyFont="1" applyFill="1" applyBorder="1" applyProtection="1">
      <protection hidden="1"/>
    </xf>
    <xf numFmtId="3" fontId="16" fillId="3" borderId="80" xfId="0" applyNumberFormat="1" applyFont="1" applyFill="1" applyBorder="1" applyProtection="1">
      <protection hidden="1"/>
    </xf>
    <xf numFmtId="3" fontId="16" fillId="16" borderId="45" xfId="0" applyNumberFormat="1" applyFont="1" applyFill="1" applyBorder="1" applyProtection="1">
      <protection hidden="1"/>
    </xf>
    <xf numFmtId="3" fontId="16" fillId="3" borderId="81" xfId="0" applyNumberFormat="1" applyFont="1" applyFill="1" applyBorder="1" applyProtection="1">
      <protection hidden="1"/>
    </xf>
    <xf numFmtId="3" fontId="16" fillId="10" borderId="80" xfId="0" applyNumberFormat="1" applyFont="1" applyFill="1" applyBorder="1" applyProtection="1">
      <protection hidden="1"/>
    </xf>
    <xf numFmtId="3" fontId="16" fillId="10" borderId="45" xfId="0" applyNumberFormat="1" applyFont="1" applyFill="1" applyBorder="1" applyProtection="1">
      <protection hidden="1"/>
    </xf>
    <xf numFmtId="3" fontId="16" fillId="10" borderId="81" xfId="0" applyNumberFormat="1" applyFont="1" applyFill="1" applyBorder="1" applyProtection="1">
      <protection hidden="1"/>
    </xf>
    <xf numFmtId="0" fontId="16" fillId="3" borderId="45" xfId="0" applyFont="1" applyFill="1" applyBorder="1" applyProtection="1">
      <protection hidden="1"/>
    </xf>
    <xf numFmtId="3" fontId="16" fillId="3" borderId="45" xfId="0" applyNumberFormat="1" applyFont="1" applyFill="1" applyBorder="1" applyProtection="1">
      <protection hidden="1"/>
    </xf>
    <xf numFmtId="3" fontId="15" fillId="10" borderId="80" xfId="0" applyNumberFormat="1" applyFont="1" applyFill="1" applyBorder="1" applyProtection="1">
      <protection hidden="1"/>
    </xf>
    <xf numFmtId="3" fontId="15" fillId="10" borderId="45" xfId="0" applyNumberFormat="1" applyFont="1" applyFill="1" applyBorder="1" applyProtection="1">
      <protection hidden="1"/>
    </xf>
    <xf numFmtId="3" fontId="15" fillId="10" borderId="81" xfId="0" applyNumberFormat="1" applyFont="1" applyFill="1" applyBorder="1" applyProtection="1">
      <protection hidden="1"/>
    </xf>
    <xf numFmtId="3" fontId="15" fillId="10" borderId="82" xfId="0" applyNumberFormat="1" applyFont="1" applyFill="1" applyBorder="1" applyProtection="1">
      <protection hidden="1"/>
    </xf>
    <xf numFmtId="3" fontId="15" fillId="10" borderId="83" xfId="0" applyNumberFormat="1" applyFont="1" applyFill="1" applyBorder="1" applyProtection="1">
      <protection hidden="1"/>
    </xf>
    <xf numFmtId="3" fontId="15" fillId="10" borderId="84" xfId="0" applyNumberFormat="1" applyFont="1" applyFill="1" applyBorder="1" applyProtection="1">
      <protection hidden="1"/>
    </xf>
    <xf numFmtId="3" fontId="16" fillId="0" borderId="45" xfId="0" applyNumberFormat="1" applyFont="1" applyFill="1" applyBorder="1" applyProtection="1">
      <protection hidden="1"/>
    </xf>
    <xf numFmtId="3" fontId="16" fillId="0" borderId="81" xfId="0" applyNumberFormat="1" applyFont="1" applyFill="1" applyBorder="1" applyProtection="1">
      <protection hidden="1"/>
    </xf>
    <xf numFmtId="0" fontId="16" fillId="3" borderId="69" xfId="0" applyFont="1" applyFill="1" applyBorder="1" applyAlignment="1" applyProtection="1">
      <alignment horizontal="left" indent="1"/>
      <protection hidden="1"/>
    </xf>
    <xf numFmtId="3" fontId="16" fillId="16" borderId="80" xfId="0" applyNumberFormat="1" applyFont="1" applyFill="1" applyBorder="1" applyProtection="1">
      <protection hidden="1"/>
    </xf>
    <xf numFmtId="0" fontId="15" fillId="3" borderId="70" xfId="0" applyFont="1" applyFill="1" applyBorder="1" applyAlignment="1" applyProtection="1">
      <alignment horizontal="left" vertical="center" indent="1"/>
      <protection hidden="1"/>
    </xf>
    <xf numFmtId="0" fontId="15" fillId="3" borderId="71" xfId="0" applyFont="1" applyFill="1" applyBorder="1" applyAlignment="1" applyProtection="1">
      <alignment horizontal="left" vertical="center" indent="1"/>
      <protection hidden="1"/>
    </xf>
    <xf numFmtId="0" fontId="16" fillId="12" borderId="47" xfId="0" applyFont="1" applyFill="1" applyBorder="1" applyAlignment="1" applyProtection="1">
      <alignment horizontal="right" vertical="center" wrapText="1"/>
      <protection locked="0"/>
    </xf>
    <xf numFmtId="0" fontId="16" fillId="12" borderId="48" xfId="0" applyFont="1" applyFill="1" applyBorder="1" applyAlignment="1" applyProtection="1">
      <alignment horizontal="right" vertical="center" wrapText="1"/>
      <protection locked="0"/>
    </xf>
    <xf numFmtId="0" fontId="20" fillId="15" borderId="77" xfId="0" applyFont="1" applyFill="1" applyBorder="1" applyAlignment="1" applyProtection="1">
      <alignment horizontal="center" vertical="center"/>
      <protection hidden="1"/>
    </xf>
    <xf numFmtId="0" fontId="20" fillId="15" borderId="78" xfId="0" applyFont="1" applyFill="1" applyBorder="1" applyAlignment="1" applyProtection="1">
      <alignment horizontal="center" vertical="center"/>
      <protection hidden="1"/>
    </xf>
    <xf numFmtId="0" fontId="20" fillId="15" borderId="79" xfId="0" applyFont="1" applyFill="1" applyBorder="1" applyAlignment="1" applyProtection="1">
      <alignment horizontal="center" vertical="center"/>
      <protection hidden="1"/>
    </xf>
  </cellXfs>
  <cellStyles count="17">
    <cellStyle name="20% - Accent1 2" xfId="10" xr:uid="{7A249306-E6C2-4557-86E8-FDB0F5BD5222}"/>
    <cellStyle name="Calculation" xfId="4" builtinId="22" customBuiltin="1"/>
    <cellStyle name="Check Cell" xfId="8" builtinId="23" customBuiltin="1"/>
    <cellStyle name="Comma" xfId="6" builtinId="3"/>
    <cellStyle name="Comma 2" xfId="13" xr:uid="{1B127F83-4A9A-4989-A29F-72F1FADFE124}"/>
    <cellStyle name="Currency" xfId="11" builtinId="4"/>
    <cellStyle name="Currency 2" xfId="16" xr:uid="{E8E964AA-ABA6-4C9E-BF80-2C2397690358}"/>
    <cellStyle name="Explanatory Text" xfId="5" builtinId="53"/>
    <cellStyle name="Heading 2" xfId="1" builtinId="17"/>
    <cellStyle name="Hyperlink" xfId="9" builtinId="8"/>
    <cellStyle name="Input" xfId="2" builtinId="20" customBuiltin="1"/>
    <cellStyle name="Linked Cell" xfId="7" builtinId="24" customBuiltin="1"/>
    <cellStyle name="Normal" xfId="0" builtinId="0"/>
    <cellStyle name="Output" xfId="3" builtinId="21" customBuiltin="1"/>
    <cellStyle name="Percent" xfId="12" builtinId="5"/>
    <cellStyle name="Total 2" xfId="14" xr:uid="{13A39F94-C7CC-4247-A6BE-64C786CB5DC8}"/>
    <cellStyle name="Warning Text 2" xfId="15" xr:uid="{07F832D3-F3AC-4085-815C-632DFE4343D8}"/>
  </cellStyles>
  <dxfs count="2">
    <dxf>
      <font>
        <color theme="6" tint="0.79998168889431442"/>
      </font>
      <fill>
        <patternFill>
          <bgColor theme="6" tint="0.79998168889431442"/>
        </patternFill>
      </fill>
      <border>
        <left/>
        <right/>
        <top/>
        <bottom/>
        <vertical/>
        <horizontal/>
      </border>
    </dxf>
    <dxf>
      <font>
        <color theme="6" tint="0.79998168889431442"/>
      </font>
      <fill>
        <patternFill>
          <bgColor theme="6" tint="0.79998168889431442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isible" pivot="0" table="0" count="0" xr9:uid="{8CE2AC0F-C349-4D70-81F9-380589427432}"/>
  </tableStyles>
  <colors>
    <mruColors>
      <color rgb="FF641C2E"/>
      <color rgb="FFFFFFCC"/>
      <color rgb="FF301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495300</xdr:colOff>
      <xdr:row>0</xdr:row>
      <xdr:rowOff>0</xdr:rowOff>
    </xdr:from>
    <xdr:to>
      <xdr:col>17</xdr:col>
      <xdr:colOff>142875</xdr:colOff>
      <xdr:row>0</xdr:row>
      <xdr:rowOff>762000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58E392CE-5FAF-42D0-841C-AF084C378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53975" y="0"/>
          <a:ext cx="18192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Kahurang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A6EBB"/>
      </a:accent1>
      <a:accent2>
        <a:srgbClr val="21419A"/>
      </a:accent2>
      <a:accent3>
        <a:srgbClr val="6E99D4"/>
      </a:accent3>
      <a:accent4>
        <a:srgbClr val="C5D6E8"/>
      </a:accent4>
      <a:accent5>
        <a:srgbClr val="F47721"/>
      </a:accent5>
      <a:accent6>
        <a:srgbClr val="532E8F"/>
      </a:accent6>
      <a:hlink>
        <a:srgbClr val="21419A"/>
      </a:hlink>
      <a:folHlink>
        <a:srgbClr val="DC291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ucation.govt.nz/school/funding-and-financials/fees-charges-and-donations/" TargetMode="External"/><Relationship Id="rId3" Type="http://schemas.openxmlformats.org/officeDocument/2006/relationships/hyperlink" Target="https://www.education.govt.nz/our-work/changes-in-education/equity-index/" TargetMode="External"/><Relationship Id="rId7" Type="http://schemas.openxmlformats.org/officeDocument/2006/relationships/hyperlink" Target="https://www.education.govt.nz/school/funding-and-financials/resourcing/operational-funding/the-risk-management-scheme-contents-and-liability-insurance/" TargetMode="External"/><Relationship Id="rId2" Type="http://schemas.openxmlformats.org/officeDocument/2006/relationships/hyperlink" Target="https://parents.education.govt.nz/primary-school/schooling-in-nz/different-types-of-primary-and-intermediate-schools/" TargetMode="External"/><Relationship Id="rId1" Type="http://schemas.openxmlformats.org/officeDocument/2006/relationships/hyperlink" Target="https://www.legislation.govt.nz/bill/government/2024/0066/latest/LMS965363.html?search=sw_096be8ed81e5a7f4_primary_25_se&amp;p=1&amp;sr=0" TargetMode="External"/><Relationship Id="rId6" Type="http://schemas.openxmlformats.org/officeDocument/2006/relationships/hyperlink" Target="https://www.education.govt.nz/school/funding-and-financials/resourcing/operational-funding/operational-funding-components/" TargetMode="External"/><Relationship Id="rId5" Type="http://schemas.openxmlformats.org/officeDocument/2006/relationships/hyperlink" Target="https://www.education.govt.nz/our-work/our-role-and-our-people/education-in-nz/" TargetMode="External"/><Relationship Id="rId10" Type="http://schemas.openxmlformats.org/officeDocument/2006/relationships/hyperlink" Target="https://www.education.govt.nz/school/funding-and-financials/resourcing/operational-funding/operational-funding-components/" TargetMode="External"/><Relationship Id="rId4" Type="http://schemas.openxmlformats.org/officeDocument/2006/relationships/hyperlink" Target="https://www.education.govt.nz/our-work/changes-in-education/equity-index/faq-isolation-index-changes/" TargetMode="External"/><Relationship Id="rId9" Type="http://schemas.openxmlformats.org/officeDocument/2006/relationships/hyperlink" Target="https://www.education.govt.nz/school/funding-and-financials/resourcing/operational-funding/operational-funding-compon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ADD7-8A5E-489A-AA80-D10B55330DF4}">
  <sheetPr>
    <tabColor rgb="FFFFFF00"/>
  </sheetPr>
  <dimension ref="A1:AA85"/>
  <sheetViews>
    <sheetView showGridLines="0" topLeftCell="A42" zoomScaleNormal="100" workbookViewId="0">
      <selection activeCell="B61" sqref="B61"/>
    </sheetView>
  </sheetViews>
  <sheetFormatPr defaultColWidth="9.1796875" defaultRowHeight="14.5" outlineLevelRow="1" x14ac:dyDescent="0.35"/>
  <cols>
    <col min="1" max="1" width="3.453125" style="115" customWidth="1"/>
    <col min="2" max="2" width="59.26953125" style="115" customWidth="1"/>
    <col min="3" max="5" width="15.7265625" style="115" customWidth="1"/>
    <col min="6" max="6" width="3.453125" style="115" customWidth="1"/>
    <col min="7" max="7" width="12.54296875" style="115" customWidth="1"/>
    <col min="8" max="10" width="10.81640625" style="115" customWidth="1"/>
    <col min="11" max="11" width="11.26953125" style="115" customWidth="1"/>
    <col min="12" max="17" width="10.81640625" style="115" customWidth="1"/>
    <col min="18" max="18" width="3.7265625" style="115" customWidth="1"/>
    <col min="19" max="19" width="4.1796875" style="115" customWidth="1"/>
    <col min="20" max="20" width="22.26953125" style="163" customWidth="1"/>
    <col min="21" max="21" width="11.453125" style="162" customWidth="1"/>
    <col min="22" max="22" width="13.453125" style="162" customWidth="1"/>
    <col min="23" max="23" width="30.7265625" style="162" customWidth="1"/>
    <col min="24" max="68" width="30.7265625" style="113" customWidth="1"/>
    <col min="69" max="16384" width="9.1796875" style="113"/>
  </cols>
  <sheetData>
    <row r="1" spans="1:24" ht="60.75" customHeight="1" x14ac:dyDescent="0.35">
      <c r="A1" s="112"/>
      <c r="B1" s="164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62"/>
    </row>
    <row r="2" spans="1:24" ht="11.25" customHeight="1" thickBot="1" x14ac:dyDescent="0.9">
      <c r="B2" s="114"/>
      <c r="T2" s="162"/>
    </row>
    <row r="3" spans="1:24" ht="54" customHeight="1" thickBot="1" x14ac:dyDescent="0.75">
      <c r="B3" s="116" t="s">
        <v>1</v>
      </c>
      <c r="C3" s="118"/>
      <c r="D3" s="118"/>
      <c r="E3" s="118"/>
      <c r="F3" s="117"/>
      <c r="G3" s="117"/>
      <c r="H3" s="117"/>
      <c r="I3" s="117"/>
      <c r="J3" s="117"/>
      <c r="K3" s="117"/>
      <c r="L3" s="117"/>
      <c r="M3" s="117"/>
      <c r="N3" s="117"/>
      <c r="O3" s="119"/>
      <c r="P3" s="119"/>
      <c r="Q3" s="119" t="s">
        <v>2</v>
      </c>
      <c r="R3" s="120"/>
      <c r="T3" s="215"/>
      <c r="U3" s="216" t="s">
        <v>296</v>
      </c>
      <c r="V3" s="216" t="s">
        <v>12</v>
      </c>
      <c r="W3" s="215"/>
      <c r="X3" s="215"/>
    </row>
    <row r="4" spans="1:24" ht="6" customHeight="1" x14ac:dyDescent="0.7">
      <c r="B4" s="121"/>
      <c r="C4" s="122"/>
      <c r="D4" s="122"/>
      <c r="E4" s="122"/>
      <c r="O4" s="123"/>
      <c r="P4" s="123"/>
      <c r="Q4" s="123"/>
      <c r="R4" s="124"/>
      <c r="T4" s="215"/>
      <c r="U4" s="215"/>
      <c r="V4" s="215"/>
      <c r="W4" s="215"/>
      <c r="X4" s="215"/>
    </row>
    <row r="5" spans="1:24" x14ac:dyDescent="0.35">
      <c r="B5" s="125" t="s">
        <v>3</v>
      </c>
      <c r="C5" s="177"/>
      <c r="D5" s="177"/>
      <c r="E5" s="177"/>
      <c r="F5" s="178"/>
      <c r="G5" s="126" t="s">
        <v>4</v>
      </c>
      <c r="H5" s="126"/>
      <c r="I5" s="178"/>
      <c r="J5" s="178"/>
      <c r="K5" s="178"/>
      <c r="L5" s="178"/>
      <c r="M5" s="178"/>
      <c r="N5" s="178"/>
      <c r="O5" s="178"/>
      <c r="P5" s="178"/>
      <c r="Q5" s="123"/>
      <c r="R5" s="124"/>
      <c r="T5" s="215"/>
      <c r="U5" s="215"/>
      <c r="V5" s="215"/>
      <c r="W5" s="215"/>
      <c r="X5" s="215"/>
    </row>
    <row r="6" spans="1:24" ht="15" customHeight="1" x14ac:dyDescent="0.35">
      <c r="B6" s="179" t="s">
        <v>5</v>
      </c>
      <c r="C6" s="180">
        <f>YEAR(C7)</f>
        <v>2025</v>
      </c>
      <c r="D6" s="181"/>
      <c r="E6" s="181"/>
      <c r="F6" s="178"/>
      <c r="G6" s="250" t="s">
        <v>6</v>
      </c>
      <c r="H6" s="182"/>
      <c r="I6" s="183" t="s">
        <v>7</v>
      </c>
      <c r="J6" s="183"/>
      <c r="K6" s="178"/>
      <c r="L6" s="178"/>
      <c r="M6" s="184" t="s">
        <v>8</v>
      </c>
      <c r="N6" s="184"/>
      <c r="O6" s="185">
        <f>SUM(I8:I15)</f>
        <v>60</v>
      </c>
      <c r="P6" s="185">
        <f>SUM(J8:J15)</f>
        <v>160</v>
      </c>
      <c r="R6" s="124"/>
      <c r="T6" s="217" t="s">
        <v>9</v>
      </c>
      <c r="U6" s="215">
        <f>MIN(100,$I$21)</f>
        <v>60</v>
      </c>
      <c r="V6" s="215">
        <f>MIN(100,$J$21)</f>
        <v>100</v>
      </c>
      <c r="W6" s="215"/>
      <c r="X6" s="215"/>
    </row>
    <row r="7" spans="1:24" ht="15" customHeight="1" x14ac:dyDescent="0.35">
      <c r="B7" s="179" t="s">
        <v>10</v>
      </c>
      <c r="C7" s="186">
        <v>45721</v>
      </c>
      <c r="D7" s="181">
        <f>MIN(366/2,IF(_xlfn.DAYS(C8,C7)&gt;183,183,_xlfn.DAYS(C8,C7)))</f>
        <v>89</v>
      </c>
      <c r="E7" s="181"/>
      <c r="F7" s="178"/>
      <c r="G7" s="251"/>
      <c r="H7" s="187"/>
      <c r="I7" s="127" t="s">
        <v>11</v>
      </c>
      <c r="J7" s="127" t="s">
        <v>12</v>
      </c>
      <c r="K7" s="178"/>
      <c r="L7" s="178"/>
      <c r="M7" s="184" t="s">
        <v>13</v>
      </c>
      <c r="N7" s="184"/>
      <c r="O7" s="185">
        <f>SUM(I16:I20)</f>
        <v>0</v>
      </c>
      <c r="P7" s="185">
        <f>SUM(J16:J20)</f>
        <v>0</v>
      </c>
      <c r="R7" s="124"/>
      <c r="T7" s="217" t="s">
        <v>14</v>
      </c>
      <c r="U7" s="215">
        <f>IF($C$9="Primary",MIN(100,$I$21),MIN(200,$I$21))</f>
        <v>60</v>
      </c>
      <c r="V7" s="215">
        <f>IF($C$9="Primary",MIN(100,$J$21),MIN(200,$J$21))</f>
        <v>100</v>
      </c>
      <c r="W7" s="215"/>
      <c r="X7" s="215"/>
    </row>
    <row r="8" spans="1:24" ht="15" customHeight="1" x14ac:dyDescent="0.35">
      <c r="B8" s="179" t="s">
        <v>288</v>
      </c>
      <c r="C8" s="186">
        <v>45810</v>
      </c>
      <c r="D8" s="188" t="str">
        <f>"31/12/"&amp;YEAR(C8)</f>
        <v>31/12/2025</v>
      </c>
      <c r="E8" s="188"/>
      <c r="F8" s="178"/>
      <c r="G8" s="189" t="s">
        <v>17</v>
      </c>
      <c r="H8" s="190"/>
      <c r="I8" s="191">
        <v>10</v>
      </c>
      <c r="J8" s="192">
        <v>20</v>
      </c>
      <c r="K8" s="178"/>
      <c r="L8" s="178"/>
      <c r="M8" s="178"/>
      <c r="N8" s="178"/>
      <c r="O8" s="178"/>
      <c r="P8" s="178"/>
      <c r="R8" s="124"/>
      <c r="T8" s="217"/>
      <c r="U8" s="215"/>
      <c r="V8" s="215"/>
      <c r="W8" s="215"/>
      <c r="X8" s="215"/>
    </row>
    <row r="9" spans="1:24" ht="15" customHeight="1" x14ac:dyDescent="0.35">
      <c r="B9" s="179" t="s">
        <v>15</v>
      </c>
      <c r="C9" s="193" t="s">
        <v>16</v>
      </c>
      <c r="D9" s="178"/>
      <c r="E9" s="178"/>
      <c r="F9" s="178"/>
      <c r="G9" s="189" t="s">
        <v>21</v>
      </c>
      <c r="H9" s="190"/>
      <c r="I9" s="191">
        <v>10</v>
      </c>
      <c r="J9" s="192">
        <v>20</v>
      </c>
      <c r="K9" s="178"/>
      <c r="L9" s="178"/>
      <c r="M9" s="194" t="s">
        <v>22</v>
      </c>
      <c r="N9" s="195"/>
      <c r="O9" s="196" t="s">
        <v>23</v>
      </c>
      <c r="P9" s="197"/>
      <c r="R9" s="124"/>
      <c r="T9" s="217" t="s">
        <v>18</v>
      </c>
      <c r="U9" s="215">
        <f>I21-U7</f>
        <v>0</v>
      </c>
      <c r="V9" s="215">
        <f>J21-V7</f>
        <v>60</v>
      </c>
      <c r="W9" s="215"/>
      <c r="X9" s="215"/>
    </row>
    <row r="10" spans="1:24" ht="15" customHeight="1" x14ac:dyDescent="0.35">
      <c r="B10" s="179" t="s">
        <v>19</v>
      </c>
      <c r="C10" s="198" t="s">
        <v>20</v>
      </c>
      <c r="D10" s="178"/>
      <c r="E10" s="178"/>
      <c r="F10" s="178"/>
      <c r="G10" s="189" t="s">
        <v>26</v>
      </c>
      <c r="H10" s="190"/>
      <c r="I10" s="191">
        <v>10</v>
      </c>
      <c r="J10" s="192">
        <v>20</v>
      </c>
      <c r="K10" s="178"/>
      <c r="L10" s="178"/>
      <c r="M10" s="199"/>
      <c r="N10" s="200"/>
      <c r="O10" s="127" t="s">
        <v>11</v>
      </c>
      <c r="P10" s="127" t="s">
        <v>12</v>
      </c>
      <c r="R10" s="124"/>
      <c r="T10" s="215"/>
      <c r="U10" s="215"/>
      <c r="V10" s="215"/>
      <c r="W10" s="215"/>
      <c r="X10" s="215"/>
    </row>
    <row r="11" spans="1:24" ht="15" customHeight="1" x14ac:dyDescent="0.35">
      <c r="B11" s="179" t="s">
        <v>24</v>
      </c>
      <c r="C11" s="198" t="s">
        <v>25</v>
      </c>
      <c r="D11" s="178"/>
      <c r="E11" s="178"/>
      <c r="F11" s="178"/>
      <c r="G11" s="189" t="s">
        <v>29</v>
      </c>
      <c r="H11" s="190"/>
      <c r="I11" s="191">
        <v>10</v>
      </c>
      <c r="J11" s="192">
        <v>20</v>
      </c>
      <c r="K11" s="178"/>
      <c r="L11" s="178"/>
      <c r="M11" s="189" t="s">
        <v>30</v>
      </c>
      <c r="N11" s="190"/>
      <c r="O11" s="191"/>
      <c r="P11" s="192"/>
      <c r="R11" s="124"/>
      <c r="T11" s="217" t="s">
        <v>27</v>
      </c>
      <c r="U11" s="215">
        <f>SUM(O11:O12)</f>
        <v>0</v>
      </c>
      <c r="V11" s="215">
        <f>SUM(P11:P12)</f>
        <v>0</v>
      </c>
      <c r="W11" s="215"/>
      <c r="X11" s="215"/>
    </row>
    <row r="12" spans="1:24" ht="15" customHeight="1" x14ac:dyDescent="0.35">
      <c r="B12" s="179" t="s">
        <v>28</v>
      </c>
      <c r="C12" s="201">
        <f>YEAR(C8)</f>
        <v>2025</v>
      </c>
      <c r="D12" s="178">
        <f>_xlfn.DAYS(C8,C7)</f>
        <v>89</v>
      </c>
      <c r="E12" s="178"/>
      <c r="F12" s="178"/>
      <c r="G12" s="189" t="s">
        <v>33</v>
      </c>
      <c r="H12" s="190"/>
      <c r="I12" s="191">
        <v>10</v>
      </c>
      <c r="J12" s="192">
        <v>20</v>
      </c>
      <c r="K12" s="178"/>
      <c r="L12" s="178"/>
      <c r="M12" s="189" t="s">
        <v>34</v>
      </c>
      <c r="N12" s="190"/>
      <c r="O12" s="191"/>
      <c r="P12" s="192"/>
      <c r="R12" s="124"/>
      <c r="T12" s="217" t="s">
        <v>31</v>
      </c>
      <c r="U12" s="215">
        <f>SUM(O19:O20)</f>
        <v>0</v>
      </c>
      <c r="V12" s="215">
        <f>SUM(P19:P20)</f>
        <v>0</v>
      </c>
      <c r="W12" s="215"/>
      <c r="X12" s="215"/>
    </row>
    <row r="13" spans="1:24" ht="15" customHeight="1" x14ac:dyDescent="0.35">
      <c r="B13" s="202" t="s">
        <v>32</v>
      </c>
      <c r="C13" s="252" t="s">
        <v>193</v>
      </c>
      <c r="D13" s="178"/>
      <c r="E13" s="178"/>
      <c r="F13" s="178"/>
      <c r="G13" s="189" t="s">
        <v>35</v>
      </c>
      <c r="H13" s="190"/>
      <c r="I13" s="191">
        <v>10</v>
      </c>
      <c r="J13" s="192">
        <v>20</v>
      </c>
      <c r="K13" s="178"/>
      <c r="L13" s="178"/>
      <c r="M13" s="189" t="s">
        <v>36</v>
      </c>
      <c r="N13" s="190"/>
      <c r="O13" s="191"/>
      <c r="P13" s="192"/>
      <c r="R13" s="124"/>
      <c r="T13" s="215"/>
      <c r="U13" s="215"/>
      <c r="V13" s="215"/>
      <c r="W13" s="215"/>
      <c r="X13" s="215"/>
    </row>
    <row r="14" spans="1:24" ht="15" customHeight="1" x14ac:dyDescent="0.35">
      <c r="B14" s="203"/>
      <c r="C14" s="253"/>
      <c r="D14" s="178"/>
      <c r="E14" s="178"/>
      <c r="F14" s="178"/>
      <c r="G14" s="189" t="s">
        <v>39</v>
      </c>
      <c r="H14" s="190"/>
      <c r="I14" s="191">
        <v>0</v>
      </c>
      <c r="J14" s="192">
        <v>20</v>
      </c>
      <c r="K14" s="178"/>
      <c r="L14" s="178"/>
      <c r="M14" s="189" t="s">
        <v>40</v>
      </c>
      <c r="N14" s="190"/>
      <c r="O14" s="191"/>
      <c r="P14" s="192"/>
      <c r="R14" s="124"/>
      <c r="T14" s="215"/>
      <c r="U14" s="215"/>
      <c r="V14" s="215"/>
      <c r="W14" s="215"/>
      <c r="X14" s="215"/>
    </row>
    <row r="15" spans="1:24" ht="15" customHeight="1" x14ac:dyDescent="0.35">
      <c r="B15" s="179" t="s">
        <v>37</v>
      </c>
      <c r="C15" s="198" t="s">
        <v>38</v>
      </c>
      <c r="D15" s="178"/>
      <c r="E15" s="178"/>
      <c r="F15" s="178"/>
      <c r="G15" s="189" t="s">
        <v>42</v>
      </c>
      <c r="H15" s="190"/>
      <c r="I15" s="191">
        <v>0</v>
      </c>
      <c r="J15" s="192">
        <v>20</v>
      </c>
      <c r="K15" s="178"/>
      <c r="L15" s="178"/>
      <c r="M15" s="204" t="s">
        <v>43</v>
      </c>
      <c r="N15" s="205"/>
      <c r="O15" s="185">
        <f>SUM(O11:O14)</f>
        <v>0</v>
      </c>
      <c r="P15" s="185">
        <f>SUM(P11:P14)</f>
        <v>0</v>
      </c>
      <c r="R15" s="124"/>
      <c r="T15" s="215"/>
      <c r="U15" s="215"/>
      <c r="V15" s="215"/>
      <c r="W15" s="215"/>
      <c r="X15" s="215"/>
    </row>
    <row r="16" spans="1:24" ht="15" customHeight="1" x14ac:dyDescent="0.35">
      <c r="B16" s="179" t="s">
        <v>41</v>
      </c>
      <c r="C16" s="206">
        <v>486</v>
      </c>
      <c r="D16" s="178"/>
      <c r="E16" s="178"/>
      <c r="F16" s="178"/>
      <c r="G16" s="189" t="s">
        <v>45</v>
      </c>
      <c r="H16" s="190"/>
      <c r="I16" s="191"/>
      <c r="J16" s="192"/>
      <c r="K16" s="178"/>
      <c r="L16" s="178"/>
      <c r="M16" s="178"/>
      <c r="N16" s="178"/>
      <c r="O16" s="178"/>
      <c r="P16" s="178"/>
      <c r="R16" s="124"/>
      <c r="T16" s="215"/>
      <c r="U16" s="215"/>
      <c r="V16" s="215"/>
      <c r="W16" s="215"/>
      <c r="X16" s="215"/>
    </row>
    <row r="17" spans="1:27" ht="15" customHeight="1" x14ac:dyDescent="0.35">
      <c r="B17" s="179" t="s">
        <v>44</v>
      </c>
      <c r="C17" s="207">
        <v>1</v>
      </c>
      <c r="D17" s="178"/>
      <c r="E17" s="178"/>
      <c r="F17" s="178"/>
      <c r="G17" s="189" t="s">
        <v>48</v>
      </c>
      <c r="H17" s="190"/>
      <c r="I17" s="191"/>
      <c r="J17" s="192"/>
      <c r="K17" s="178"/>
      <c r="L17" s="178"/>
      <c r="M17" s="194" t="s">
        <v>49</v>
      </c>
      <c r="N17" s="195"/>
      <c r="O17" s="196" t="s">
        <v>23</v>
      </c>
      <c r="P17" s="197"/>
      <c r="R17" s="124"/>
      <c r="T17" s="215"/>
      <c r="U17" s="215"/>
      <c r="V17" s="215"/>
      <c r="W17" s="215"/>
      <c r="X17" s="215"/>
    </row>
    <row r="18" spans="1:27" ht="15" customHeight="1" x14ac:dyDescent="0.35">
      <c r="B18" s="179" t="s">
        <v>46</v>
      </c>
      <c r="C18" s="198" t="s">
        <v>295</v>
      </c>
      <c r="D18" s="178"/>
      <c r="E18" s="178"/>
      <c r="F18" s="178"/>
      <c r="G18" s="189" t="s">
        <v>51</v>
      </c>
      <c r="H18" s="190"/>
      <c r="I18" s="191"/>
      <c r="J18" s="192"/>
      <c r="K18" s="178"/>
      <c r="L18" s="178"/>
      <c r="M18" s="199"/>
      <c r="N18" s="200"/>
      <c r="O18" s="127" t="s">
        <v>11</v>
      </c>
      <c r="P18" s="127" t="s">
        <v>12</v>
      </c>
      <c r="R18" s="124"/>
      <c r="T18" s="215"/>
      <c r="U18" s="215"/>
      <c r="V18" s="215"/>
      <c r="W18" s="215"/>
      <c r="X18" s="215"/>
    </row>
    <row r="19" spans="1:27" ht="15" customHeight="1" x14ac:dyDescent="0.35">
      <c r="B19" s="179" t="s">
        <v>50</v>
      </c>
      <c r="C19" s="198" t="s">
        <v>25</v>
      </c>
      <c r="D19" s="178"/>
      <c r="E19" s="178"/>
      <c r="F19" s="178"/>
      <c r="G19" s="189" t="s">
        <v>53</v>
      </c>
      <c r="H19" s="190"/>
      <c r="I19" s="191"/>
      <c r="J19" s="192"/>
      <c r="K19" s="178"/>
      <c r="L19" s="178"/>
      <c r="M19" s="189" t="s">
        <v>30</v>
      </c>
      <c r="N19" s="190"/>
      <c r="O19" s="191"/>
      <c r="P19" s="192"/>
      <c r="R19" s="124"/>
      <c r="T19" s="215"/>
      <c r="U19" s="215"/>
      <c r="V19" s="215"/>
      <c r="W19" s="215"/>
      <c r="X19" s="215"/>
    </row>
    <row r="20" spans="1:27" ht="15" customHeight="1" x14ac:dyDescent="0.35">
      <c r="B20" s="179" t="s">
        <v>52</v>
      </c>
      <c r="C20" s="198" t="s">
        <v>20</v>
      </c>
      <c r="D20" s="178"/>
      <c r="E20" s="178"/>
      <c r="F20" s="178"/>
      <c r="G20" s="189" t="s">
        <v>55</v>
      </c>
      <c r="H20" s="190"/>
      <c r="I20" s="191"/>
      <c r="J20" s="192"/>
      <c r="K20" s="178"/>
      <c r="L20" s="178"/>
      <c r="M20" s="189" t="s">
        <v>34</v>
      </c>
      <c r="N20" s="190"/>
      <c r="O20" s="191"/>
      <c r="P20" s="192"/>
      <c r="R20" s="124"/>
      <c r="T20" s="215"/>
      <c r="U20" s="215"/>
      <c r="V20" s="215"/>
      <c r="W20" s="215"/>
      <c r="X20" s="215"/>
    </row>
    <row r="21" spans="1:27" ht="15" customHeight="1" x14ac:dyDescent="0.35">
      <c r="B21" s="179" t="s">
        <v>54</v>
      </c>
      <c r="C21" s="206">
        <v>1</v>
      </c>
      <c r="D21" s="208"/>
      <c r="E21" s="208"/>
      <c r="F21" s="178"/>
      <c r="G21" s="204" t="s">
        <v>56</v>
      </c>
      <c r="H21" s="205"/>
      <c r="I21" s="185">
        <f>SUM(I8:I20)</f>
        <v>60</v>
      </c>
      <c r="J21" s="209">
        <f>SUM(J8:J20)</f>
        <v>160</v>
      </c>
      <c r="K21" s="178"/>
      <c r="L21" s="178"/>
      <c r="M21" s="204" t="s">
        <v>43</v>
      </c>
      <c r="N21" s="205"/>
      <c r="O21" s="185">
        <f>SUM(O19:O20)</f>
        <v>0</v>
      </c>
      <c r="P21" s="209">
        <f>SUM(P19:P20)</f>
        <v>0</v>
      </c>
      <c r="R21" s="124"/>
      <c r="T21" s="215"/>
      <c r="U21" s="215"/>
      <c r="V21" s="215"/>
      <c r="W21" s="215"/>
      <c r="X21" s="215"/>
    </row>
    <row r="22" spans="1:27" ht="15" customHeight="1" x14ac:dyDescent="0.35">
      <c r="B22" s="128"/>
      <c r="R22" s="124"/>
      <c r="T22" s="215"/>
      <c r="U22" s="215"/>
      <c r="V22" s="215"/>
      <c r="W22" s="215"/>
      <c r="X22" s="215"/>
    </row>
    <row r="23" spans="1:27" ht="15" customHeight="1" thickBot="1" x14ac:dyDescent="0.4">
      <c r="B23" s="129"/>
      <c r="C23" s="130"/>
      <c r="D23" s="130"/>
      <c r="E23" s="130"/>
      <c r="F23" s="130"/>
      <c r="G23" s="130"/>
      <c r="H23" s="130"/>
      <c r="I23" s="130"/>
      <c r="J23" s="130"/>
      <c r="K23" s="130" t="s">
        <v>57</v>
      </c>
      <c r="L23" s="130"/>
      <c r="M23" s="130"/>
      <c r="N23" s="130"/>
      <c r="O23" s="130"/>
      <c r="P23" s="130"/>
      <c r="Q23" s="130"/>
      <c r="R23" s="131"/>
      <c r="T23" s="215"/>
      <c r="U23" s="215"/>
      <c r="V23" s="215"/>
      <c r="W23" s="215"/>
      <c r="X23" s="215"/>
    </row>
    <row r="24" spans="1:27" ht="12" customHeight="1" thickBot="1" x14ac:dyDescent="0.4">
      <c r="O24" s="156"/>
      <c r="P24" s="156"/>
      <c r="T24" s="162"/>
    </row>
    <row r="25" spans="1:27" s="162" customFormat="1" ht="36" customHeight="1" thickBot="1" x14ac:dyDescent="0.4">
      <c r="A25" s="115"/>
      <c r="B25" s="157" t="s">
        <v>294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3"/>
      <c r="P25" s="133"/>
      <c r="Q25" s="132"/>
      <c r="R25" s="134"/>
      <c r="S25" s="115"/>
      <c r="X25" s="113"/>
    </row>
    <row r="26" spans="1:27" s="162" customFormat="1" ht="23.25" customHeight="1" x14ac:dyDescent="0.35">
      <c r="A26" s="115"/>
      <c r="B26" s="171"/>
      <c r="C26" s="254" t="s">
        <v>297</v>
      </c>
      <c r="D26" s="255"/>
      <c r="E26" s="256"/>
      <c r="F26" s="168"/>
      <c r="G26" s="168"/>
      <c r="H26" s="168"/>
      <c r="I26" s="168"/>
      <c r="J26" s="168"/>
      <c r="K26" s="168"/>
      <c r="L26" s="168"/>
      <c r="M26" s="168"/>
      <c r="N26" s="168"/>
      <c r="O26" s="167"/>
      <c r="P26" s="167"/>
      <c r="Q26" s="168"/>
      <c r="R26" s="169"/>
      <c r="S26" s="115"/>
      <c r="T26" s="218"/>
      <c r="U26" s="218"/>
      <c r="V26" s="218"/>
      <c r="W26" s="218"/>
      <c r="X26" s="218"/>
      <c r="Y26" s="218"/>
      <c r="Z26" s="218"/>
      <c r="AA26" s="218"/>
    </row>
    <row r="27" spans="1:27" s="162" customFormat="1" ht="21.5" thickBot="1" x14ac:dyDescent="0.4">
      <c r="A27" s="115"/>
      <c r="B27" s="170" t="s">
        <v>110</v>
      </c>
      <c r="C27" s="226" t="s">
        <v>296</v>
      </c>
      <c r="D27" s="227" t="s">
        <v>96</v>
      </c>
      <c r="E27" s="228" t="s">
        <v>43</v>
      </c>
      <c r="F27" s="135"/>
      <c r="G27" s="101" t="s">
        <v>287</v>
      </c>
      <c r="H27" s="136" t="s">
        <v>58</v>
      </c>
      <c r="I27" s="135"/>
      <c r="J27" s="135"/>
      <c r="K27" s="135"/>
      <c r="L27" s="135"/>
      <c r="M27" s="135"/>
      <c r="N27" s="135"/>
      <c r="O27" s="135"/>
      <c r="P27" s="135"/>
      <c r="Q27" s="135"/>
      <c r="R27" s="137"/>
      <c r="S27" s="115"/>
      <c r="T27" s="218"/>
      <c r="U27" s="218"/>
      <c r="V27" s="218"/>
      <c r="W27" s="218"/>
      <c r="X27" s="218"/>
      <c r="Y27" s="218"/>
      <c r="Z27" s="218"/>
      <c r="AA27" s="218"/>
    </row>
    <row r="28" spans="1:27" s="162" customFormat="1" ht="27" thickTop="1" x14ac:dyDescent="0.35">
      <c r="A28" s="115"/>
      <c r="B28" s="210" t="s">
        <v>293</v>
      </c>
      <c r="C28" s="229"/>
      <c r="D28" s="230"/>
      <c r="E28" s="231"/>
      <c r="F28" s="135"/>
      <c r="G28" s="138"/>
      <c r="H28" s="138"/>
      <c r="I28" s="224" t="s">
        <v>296</v>
      </c>
      <c r="J28" s="224" t="s">
        <v>12</v>
      </c>
      <c r="K28" s="225" t="s">
        <v>113</v>
      </c>
      <c r="L28" s="135"/>
      <c r="M28" s="135"/>
      <c r="N28" s="135"/>
      <c r="O28" s="135"/>
      <c r="P28" s="135"/>
      <c r="Q28" s="135"/>
      <c r="R28" s="137"/>
      <c r="S28" s="115"/>
      <c r="T28" s="218"/>
      <c r="U28" s="218"/>
      <c r="V28" s="218"/>
      <c r="W28" s="218"/>
      <c r="X28" s="218"/>
      <c r="Y28" s="218"/>
      <c r="Z28" s="218"/>
      <c r="AA28" s="218"/>
    </row>
    <row r="29" spans="1:27" s="162" customFormat="1" x14ac:dyDescent="0.35">
      <c r="A29" s="115"/>
      <c r="B29" s="211" t="s">
        <v>60</v>
      </c>
      <c r="C29" s="232">
        <f>I29*K29</f>
        <v>427078.8</v>
      </c>
      <c r="D29" s="233"/>
      <c r="E29" s="234">
        <f>SUM(C29:D29)</f>
        <v>427078.8</v>
      </c>
      <c r="F29" s="135"/>
      <c r="G29" s="172" t="s">
        <v>61</v>
      </c>
      <c r="H29" s="139"/>
      <c r="I29" s="139">
        <f>$U$7</f>
        <v>60</v>
      </c>
      <c r="J29" s="139"/>
      <c r="K29" s="140">
        <f>IFERROR(SUMIFS('Rates.Table'!$E$16:$E$27,'Rates.Table'!$D$16:$D$27,$C$9,'Rates.Table'!$C$16:$C$27,$G29),"")</f>
        <v>7117.98</v>
      </c>
      <c r="L29" s="141"/>
      <c r="M29" s="141"/>
      <c r="N29" s="141"/>
      <c r="O29" s="141"/>
      <c r="P29" s="141"/>
      <c r="Q29" s="142"/>
      <c r="R29" s="137"/>
      <c r="S29" s="115"/>
      <c r="T29" s="219"/>
      <c r="U29" s="218"/>
      <c r="V29" s="218"/>
      <c r="W29" s="218"/>
      <c r="X29" s="218"/>
      <c r="Y29" s="218"/>
      <c r="Z29" s="218"/>
      <c r="AA29" s="218"/>
    </row>
    <row r="30" spans="1:27" s="162" customFormat="1" x14ac:dyDescent="0.35">
      <c r="A30" s="115"/>
      <c r="B30" s="211" t="s">
        <v>18</v>
      </c>
      <c r="C30" s="232">
        <f>I30*K30</f>
        <v>0</v>
      </c>
      <c r="D30" s="233"/>
      <c r="E30" s="234">
        <f t="shared" ref="E30:E32" si="0">SUM(C30:D30)</f>
        <v>0</v>
      </c>
      <c r="F30" s="135"/>
      <c r="G30" s="173" t="s">
        <v>62</v>
      </c>
      <c r="H30" s="138"/>
      <c r="I30" s="166">
        <f>$U$9</f>
        <v>0</v>
      </c>
      <c r="J30" s="138"/>
      <c r="K30" s="143">
        <f>IFERROR(SUMIFS('Rates.Table'!$E$16:$E$27,'Rates.Table'!$D$16:$D$27,$C$9,'Rates.Table'!$C$16:$C$27,$G30),"")</f>
        <v>5359.59</v>
      </c>
      <c r="L30" s="135"/>
      <c r="M30" s="135"/>
      <c r="N30" s="135"/>
      <c r="O30" s="135"/>
      <c r="P30" s="135"/>
      <c r="Q30" s="144"/>
      <c r="R30" s="145"/>
      <c r="S30" s="115"/>
      <c r="T30" s="219"/>
      <c r="U30" s="218"/>
      <c r="V30" s="218"/>
      <c r="W30" s="218"/>
      <c r="X30" s="218"/>
      <c r="Y30" s="218"/>
      <c r="Z30" s="218"/>
      <c r="AA30" s="218"/>
    </row>
    <row r="31" spans="1:27" s="162" customFormat="1" x14ac:dyDescent="0.35">
      <c r="A31" s="115"/>
      <c r="B31" s="211" t="s">
        <v>63</v>
      </c>
      <c r="C31" s="232">
        <f>I31*K31</f>
        <v>0</v>
      </c>
      <c r="D31" s="233"/>
      <c r="E31" s="234">
        <f t="shared" si="0"/>
        <v>0</v>
      </c>
      <c r="F31" s="135"/>
      <c r="G31" s="173" t="str">
        <f>IF($U$11&lt;&gt;0,"māori_immersion","")</f>
        <v/>
      </c>
      <c r="H31" s="138"/>
      <c r="I31" s="166">
        <f>$U$11</f>
        <v>0</v>
      </c>
      <c r="J31" s="138"/>
      <c r="K31" s="143">
        <f>IFERROR(SUMIFS('Rates.Table'!$E$16:$E$27,'Rates.Table'!$A$16:$A$27,"Salaries Funding",'Rates.Table'!$C$16:$C$27,$G31,'Rates.Table'!$D$16:$D$27,$C$9),0)</f>
        <v>0</v>
      </c>
      <c r="L31" s="135"/>
      <c r="M31" s="135"/>
      <c r="N31" s="135"/>
      <c r="O31" s="135"/>
      <c r="P31" s="135"/>
      <c r="Q31" s="144"/>
      <c r="R31" s="137"/>
      <c r="S31" s="115"/>
      <c r="T31" s="219"/>
      <c r="U31" s="218"/>
      <c r="V31" s="218"/>
      <c r="W31" s="218"/>
      <c r="X31" s="218"/>
      <c r="Y31" s="218"/>
      <c r="Z31" s="218"/>
      <c r="AA31" s="218"/>
    </row>
    <row r="32" spans="1:27" s="162" customFormat="1" x14ac:dyDescent="0.35">
      <c r="A32" s="115"/>
      <c r="B32" s="211" t="s">
        <v>64</v>
      </c>
      <c r="C32" s="232">
        <f>I32*K32</f>
        <v>0</v>
      </c>
      <c r="D32" s="233"/>
      <c r="E32" s="234">
        <f t="shared" si="0"/>
        <v>0</v>
      </c>
      <c r="F32" s="135"/>
      <c r="G32" s="173" t="str">
        <f>IF($U$12&lt;&gt;0,"pacific_immersion","")</f>
        <v/>
      </c>
      <c r="H32" s="138"/>
      <c r="I32" s="166">
        <f>$U$12</f>
        <v>0</v>
      </c>
      <c r="J32" s="138"/>
      <c r="K32" s="143">
        <f>IFERROR(SUMIFS('Rates.Table'!$E$16:$E$27,'Rates.Table'!$A$16:$A$27,"Salaries Funding",'Rates.Table'!$C$16:$C$27,$G32,'Rates.Table'!$D$16:$D$27,$C$9),0)</f>
        <v>0</v>
      </c>
      <c r="L32" s="135"/>
      <c r="M32" s="135"/>
      <c r="N32" s="135"/>
      <c r="O32" s="135"/>
      <c r="P32" s="135"/>
      <c r="Q32" s="144"/>
      <c r="R32" s="137"/>
      <c r="S32" s="115"/>
      <c r="T32" s="219"/>
      <c r="U32" s="218"/>
      <c r="V32" s="218"/>
      <c r="W32" s="218"/>
      <c r="X32" s="218"/>
      <c r="Y32" s="218"/>
      <c r="Z32" s="218"/>
      <c r="AA32" s="218"/>
    </row>
    <row r="33" spans="1:27" s="162" customFormat="1" x14ac:dyDescent="0.35">
      <c r="A33" s="115"/>
      <c r="B33" s="212" t="s">
        <v>65</v>
      </c>
      <c r="C33" s="235">
        <f>SUBTOTAL(9,C29:C32)</f>
        <v>427078.8</v>
      </c>
      <c r="D33" s="236"/>
      <c r="E33" s="237">
        <f>SUBTOTAL(9,E29:E32)</f>
        <v>427078.8</v>
      </c>
      <c r="F33" s="135"/>
      <c r="G33" s="174"/>
      <c r="H33" s="146"/>
      <c r="I33" s="147"/>
      <c r="J33" s="147"/>
      <c r="K33" s="147"/>
      <c r="L33" s="146"/>
      <c r="M33" s="146"/>
      <c r="N33" s="146"/>
      <c r="O33" s="146"/>
      <c r="P33" s="146"/>
      <c r="Q33" s="148"/>
      <c r="R33" s="137"/>
      <c r="S33" s="115"/>
      <c r="T33" s="218"/>
      <c r="U33" s="218"/>
      <c r="V33" s="218"/>
      <c r="W33" s="218"/>
      <c r="X33" s="218"/>
      <c r="Y33" s="218"/>
      <c r="Z33" s="218"/>
      <c r="AA33" s="218"/>
    </row>
    <row r="34" spans="1:27" s="162" customFormat="1" x14ac:dyDescent="0.35">
      <c r="A34" s="115"/>
      <c r="B34" s="210" t="s">
        <v>66</v>
      </c>
      <c r="C34" s="229"/>
      <c r="D34" s="238"/>
      <c r="E34" s="231"/>
      <c r="F34" s="135"/>
      <c r="G34" s="175"/>
      <c r="H34" s="135"/>
      <c r="I34" s="138"/>
      <c r="J34" s="138"/>
      <c r="K34" s="138"/>
      <c r="L34" s="135"/>
      <c r="M34" s="135"/>
      <c r="N34" s="135"/>
      <c r="O34" s="135"/>
      <c r="P34" s="135"/>
      <c r="Q34" s="144"/>
      <c r="R34" s="137"/>
      <c r="S34" s="115"/>
      <c r="T34" s="218"/>
      <c r="U34" s="218"/>
      <c r="V34" s="218"/>
      <c r="W34" s="218"/>
      <c r="X34" s="218"/>
      <c r="Y34" s="218"/>
      <c r="Z34" s="218"/>
      <c r="AA34" s="218"/>
    </row>
    <row r="35" spans="1:27" s="162" customFormat="1" x14ac:dyDescent="0.35">
      <c r="A35" s="115"/>
      <c r="B35" s="179" t="s">
        <v>67</v>
      </c>
      <c r="C35" s="232">
        <f>IF($C$9="Primary",L35,
IF($C$9="Secondary",N35,
P35))</f>
        <v>10834.199999999999</v>
      </c>
      <c r="D35" s="233"/>
      <c r="E35" s="234">
        <f>SUM(C35:D35)</f>
        <v>10834.199999999999</v>
      </c>
      <c r="F35" s="135"/>
      <c r="G35" s="173" t="str">
        <f t="shared" ref="G35:G51" si="1">B35</f>
        <v>Base Funding</v>
      </c>
      <c r="H35" s="138"/>
      <c r="I35" s="138">
        <f>$I$21</f>
        <v>60</v>
      </c>
      <c r="J35" s="138"/>
      <c r="K35" s="138"/>
      <c r="L35" s="143">
        <f>VLOOKUP($I$35,'Rates.Table'!$B$66:$D$71,2)+VLOOKUP($I$35,'Rates.Table'!$B$66:$D$71,3)*($I$35-VLOOKUP($I$35,'Rates.Table'!$B$66:$D$71,1))</f>
        <v>10834.199999999999</v>
      </c>
      <c r="M35" s="138"/>
      <c r="N35" s="143">
        <f>VLOOKUP($I$35,'Rates.Table'!$B$72:$D$76,2)+VLOOKUP($I$35,'Rates.Table'!$B$72:$D$76,3)*($I$35-VLOOKUP($I$35,'Rates.Table'!$B$72:$D$76,1))</f>
        <v>27289.8</v>
      </c>
      <c r="O35" s="138"/>
      <c r="P35" s="143">
        <f>VLOOKUP($I$35,'Rates.Table'!$B$77:$D$81,2)+VLOOKUP($I$35,'Rates.Table'!$B$77:$D$81,3)*($I$35-VLOOKUP($I$35,'Rates.Table'!$B$77:$D$81,1))</f>
        <v>37154.400000000001</v>
      </c>
      <c r="Q35" s="149"/>
      <c r="R35" s="137"/>
      <c r="S35" s="115"/>
      <c r="T35" s="219"/>
      <c r="U35" s="218"/>
      <c r="V35" s="218"/>
      <c r="W35" s="218"/>
      <c r="X35" s="218"/>
      <c r="Y35" s="218"/>
      <c r="Z35" s="218"/>
      <c r="AA35" s="218"/>
    </row>
    <row r="36" spans="1:27" s="162" customFormat="1" x14ac:dyDescent="0.35">
      <c r="A36" s="115"/>
      <c r="B36" s="179" t="s">
        <v>68</v>
      </c>
      <c r="C36" s="232">
        <f>(I36*K36)+(L36*M36)</f>
        <v>19203</v>
      </c>
      <c r="D36" s="233"/>
      <c r="E36" s="234">
        <f t="shared" ref="E36:E51" si="2">SUM(C36:D36)</f>
        <v>19203</v>
      </c>
      <c r="F36" s="135"/>
      <c r="G36" s="173" t="str">
        <f t="shared" si="1"/>
        <v>Relief Teacher funding</v>
      </c>
      <c r="H36" s="138"/>
      <c r="I36" s="138">
        <f>$U$7</f>
        <v>60</v>
      </c>
      <c r="J36" s="138"/>
      <c r="K36" s="143">
        <f>IFERROR(SUMIFS('Rates.Table'!$E$4:$E$15,'Rates.Table'!$B$4:$B$15,G36,'Rates.Table'!$C$4:$C$15,"first_student",'Rates.Table'!$D$4:$D$15,$C$9),0)</f>
        <v>320.05</v>
      </c>
      <c r="L36" s="135">
        <f>$U$9</f>
        <v>0</v>
      </c>
      <c r="M36" s="143">
        <f>IF($L36=0,0,(SUMIFS('Rates.Table'!$E$4:$E$15,'Rates.Table'!$B$4:$B$15,G36,'Rates.Table'!$C$4:$C$15,"extra_student",'Rates.Table'!$D$4:$D$15,$C$9)))</f>
        <v>0</v>
      </c>
      <c r="N36" s="135"/>
      <c r="O36" s="135"/>
      <c r="P36" s="143"/>
      <c r="Q36" s="144"/>
      <c r="R36" s="137"/>
      <c r="S36" s="115"/>
      <c r="T36" s="219"/>
      <c r="U36" s="218"/>
      <c r="V36" s="218"/>
      <c r="W36" s="218"/>
      <c r="X36" s="218"/>
      <c r="Y36" s="218"/>
      <c r="Z36" s="218"/>
      <c r="AA36" s="218"/>
    </row>
    <row r="37" spans="1:27" s="162" customFormat="1" ht="14.25" customHeight="1" x14ac:dyDescent="0.35">
      <c r="A37" s="115"/>
      <c r="B37" s="179" t="s">
        <v>69</v>
      </c>
      <c r="C37" s="232">
        <f>(I37*K37)+(L37*M37)</f>
        <v>9048</v>
      </c>
      <c r="D37" s="233"/>
      <c r="E37" s="234">
        <f t="shared" si="2"/>
        <v>9048</v>
      </c>
      <c r="F37" s="135"/>
      <c r="G37" s="173" t="str">
        <f t="shared" si="1"/>
        <v>Heat Light and Water funding</v>
      </c>
      <c r="H37" s="138"/>
      <c r="I37" s="138">
        <f>$U$7</f>
        <v>60</v>
      </c>
      <c r="J37" s="138"/>
      <c r="K37" s="143">
        <f>IFERROR(SUMIFS('Rates.Table'!$E$4:$E$15,'Rates.Table'!$B$4:$B$15,G37,'Rates.Table'!$C$4:$C$15,"first_student",'Rates.Table'!$D$4:$D$15,$C$9),0)</f>
        <v>150.80000000000001</v>
      </c>
      <c r="L37" s="135">
        <f>$U$9</f>
        <v>0</v>
      </c>
      <c r="M37" s="143">
        <f>IF($L37=0,0,(SUMIFS('Rates.Table'!$E$4:$E$15,'Rates.Table'!$B$4:$B$15,G37,'Rates.Table'!$C$4:$C$15,"extra_student",'Rates.Table'!$D$4:$D$15,$C$9)))</f>
        <v>0</v>
      </c>
      <c r="N37" s="135"/>
      <c r="O37" s="135"/>
      <c r="P37" s="143"/>
      <c r="Q37" s="144"/>
      <c r="R37" s="137"/>
      <c r="S37" s="115"/>
      <c r="T37" s="219"/>
      <c r="U37" s="218"/>
      <c r="V37" s="218"/>
      <c r="W37" s="218"/>
      <c r="X37" s="218"/>
      <c r="Y37" s="218"/>
      <c r="Z37" s="218"/>
      <c r="AA37" s="218"/>
    </row>
    <row r="38" spans="1:27" s="162" customFormat="1" x14ac:dyDescent="0.35">
      <c r="A38" s="115"/>
      <c r="B38" s="179" t="s">
        <v>70</v>
      </c>
      <c r="C38" s="232">
        <f>I38*K38</f>
        <v>32271.600000000002</v>
      </c>
      <c r="D38" s="233"/>
      <c r="E38" s="234">
        <f t="shared" si="2"/>
        <v>32271.600000000002</v>
      </c>
      <c r="F38" s="135"/>
      <c r="G38" s="173" t="str">
        <f t="shared" si="1"/>
        <v xml:space="preserve">Equity Funding (EQI) </v>
      </c>
      <c r="H38" s="138"/>
      <c r="I38" s="138">
        <f>$I$21</f>
        <v>60</v>
      </c>
      <c r="J38" s="138"/>
      <c r="K38" s="143">
        <f>INDEX('Rates.Table'!$C$305:$C$530,MATCH($C$16,'Rates.Table'!$B$305:$B$530,0))</f>
        <v>537.86</v>
      </c>
      <c r="L38" s="135"/>
      <c r="M38" s="135"/>
      <c r="N38" s="135"/>
      <c r="O38" s="135"/>
      <c r="P38" s="135"/>
      <c r="Q38" s="144"/>
      <c r="R38" s="137"/>
      <c r="S38" s="115"/>
      <c r="T38" s="219"/>
      <c r="U38" s="218"/>
      <c r="V38" s="218"/>
      <c r="W38" s="218"/>
      <c r="X38" s="218"/>
      <c r="Y38" s="218"/>
      <c r="Z38" s="218"/>
      <c r="AA38" s="218"/>
    </row>
    <row r="39" spans="1:27" s="162" customFormat="1" x14ac:dyDescent="0.35">
      <c r="A39" s="115"/>
      <c r="B39" s="179" t="s">
        <v>71</v>
      </c>
      <c r="C39" s="232">
        <f>(M39*I39)+K39</f>
        <v>5497.2</v>
      </c>
      <c r="D39" s="233"/>
      <c r="E39" s="234">
        <f t="shared" si="2"/>
        <v>5497.2</v>
      </c>
      <c r="F39" s="135"/>
      <c r="G39" s="173" t="str">
        <f t="shared" si="1"/>
        <v>Support for Inclusion (SIF) previously SEG</v>
      </c>
      <c r="H39" s="138"/>
      <c r="I39" s="138">
        <f>I21</f>
        <v>60</v>
      </c>
      <c r="J39" s="138"/>
      <c r="K39" s="143">
        <f>MIN(100,$I$21)*'Rates.Table'!$B$32</f>
        <v>879</v>
      </c>
      <c r="L39" s="135"/>
      <c r="M39" s="143">
        <f>INDEX('Rates.Table'!$C$531:$C$756,MATCH($C$16,'Rates.Table'!$B$531:$B$756,0))</f>
        <v>76.97</v>
      </c>
      <c r="N39" s="135"/>
      <c r="O39" s="135"/>
      <c r="P39" s="143"/>
      <c r="Q39" s="144"/>
      <c r="R39" s="137"/>
      <c r="S39" s="115"/>
      <c r="T39" s="219"/>
      <c r="U39" s="218"/>
      <c r="V39" s="218"/>
      <c r="W39" s="218"/>
      <c r="X39" s="218"/>
      <c r="Y39" s="218"/>
      <c r="Z39" s="218"/>
      <c r="AA39" s="218"/>
    </row>
    <row r="40" spans="1:27" s="162" customFormat="1" x14ac:dyDescent="0.35">
      <c r="A40" s="115"/>
      <c r="B40" s="179" t="s">
        <v>72</v>
      </c>
      <c r="C40" s="232">
        <f>I40*K40</f>
        <v>0</v>
      </c>
      <c r="D40" s="233"/>
      <c r="E40" s="234">
        <f t="shared" si="2"/>
        <v>0</v>
      </c>
      <c r="F40" s="135"/>
      <c r="G40" s="173" t="str">
        <f t="shared" si="1"/>
        <v>Careers Information Grant (CIG)</v>
      </c>
      <c r="H40" s="138"/>
      <c r="I40" s="138">
        <f>$O$7</f>
        <v>0</v>
      </c>
      <c r="J40" s="138"/>
      <c r="K40" s="143">
        <f>IFERROR(INDEX('Rates.Table'!$C$757:$C$982,MATCH($C$16,'Rates.Table'!$B$757:$B$982,0)),0)</f>
        <v>29.78</v>
      </c>
      <c r="L40" s="138"/>
      <c r="M40" s="135"/>
      <c r="N40" s="135"/>
      <c r="O40" s="135"/>
      <c r="P40" s="135"/>
      <c r="Q40" s="144"/>
      <c r="R40" s="137"/>
      <c r="S40" s="115"/>
      <c r="T40" s="219"/>
      <c r="U40" s="218"/>
      <c r="V40" s="218"/>
      <c r="W40" s="218"/>
      <c r="X40" s="218"/>
      <c r="Y40" s="218"/>
      <c r="Z40" s="218"/>
      <c r="AA40" s="218"/>
    </row>
    <row r="41" spans="1:27" s="162" customFormat="1" x14ac:dyDescent="0.35">
      <c r="A41" s="115"/>
      <c r="B41" s="179" t="s">
        <v>73</v>
      </c>
      <c r="C41" s="232">
        <f>(I41*K41)+(L41*M41)</f>
        <v>5924.4</v>
      </c>
      <c r="D41" s="233"/>
      <c r="E41" s="234">
        <f t="shared" si="2"/>
        <v>5924.4</v>
      </c>
      <c r="F41" s="135"/>
      <c r="G41" s="173" t="str">
        <f t="shared" si="1"/>
        <v>ICT Funding</v>
      </c>
      <c r="H41" s="138"/>
      <c r="I41" s="138">
        <f>$I$21</f>
        <v>60</v>
      </c>
      <c r="J41" s="138"/>
      <c r="K41" s="143">
        <f>INDEX('Rates.Table'!$C$38:$C$61,MATCH($B41,'Rates.Table'!$A$38:$A$61,0))</f>
        <v>39.549999999999997</v>
      </c>
      <c r="L41" s="138">
        <f>IF($U$6=0,0,$U$6)</f>
        <v>60</v>
      </c>
      <c r="M41" s="143">
        <f>IF(L41=0,0,'Rates.Table'!$B$34)</f>
        <v>59.19</v>
      </c>
      <c r="N41" s="135"/>
      <c r="O41" s="135"/>
      <c r="P41" s="143"/>
      <c r="Q41" s="144"/>
      <c r="R41" s="137"/>
      <c r="S41" s="115"/>
      <c r="T41" s="219"/>
      <c r="U41" s="218"/>
      <c r="V41" s="218"/>
      <c r="W41" s="218"/>
      <c r="X41" s="218"/>
      <c r="Y41" s="218"/>
      <c r="Z41" s="218"/>
      <c r="AA41" s="218"/>
    </row>
    <row r="42" spans="1:27" s="162" customFormat="1" x14ac:dyDescent="0.35">
      <c r="A42" s="115"/>
      <c r="B42" s="179" t="s">
        <v>74</v>
      </c>
      <c r="C42" s="232">
        <f>(I42*K42)+(L42*M42)</f>
        <v>0</v>
      </c>
      <c r="D42" s="233"/>
      <c r="E42" s="234">
        <f t="shared" si="2"/>
        <v>0</v>
      </c>
      <c r="F42" s="135"/>
      <c r="G42" s="173" t="str">
        <f t="shared" si="1"/>
        <v>Targeted Funding for Isolation</v>
      </c>
      <c r="H42" s="138"/>
      <c r="I42" s="150">
        <f>($C$17^2)</f>
        <v>1</v>
      </c>
      <c r="J42" s="138"/>
      <c r="K42" s="143">
        <f>IF($C$17&gt;=1.27,INDEX('Rates.Table'!$C$38:$C$61,MATCH($B42,'Rates.Table'!$A$38:$A$61,0)),0)</f>
        <v>0</v>
      </c>
      <c r="L42" s="138">
        <f>IF($C$17&gt;=1.27,IF($U$6=0,0,$U$6),0)</f>
        <v>0</v>
      </c>
      <c r="M42" s="143">
        <f>IF(L42=0,0,'Rates.Table'!$B$33)</f>
        <v>0</v>
      </c>
      <c r="N42" s="135"/>
      <c r="O42" s="135"/>
      <c r="P42" s="143"/>
      <c r="Q42" s="144"/>
      <c r="R42" s="137"/>
      <c r="S42" s="115"/>
      <c r="T42" s="219"/>
      <c r="U42" s="218"/>
      <c r="V42" s="218"/>
      <c r="W42" s="218"/>
      <c r="X42" s="218"/>
      <c r="Y42" s="218"/>
      <c r="Z42" s="218"/>
      <c r="AA42" s="218"/>
    </row>
    <row r="43" spans="1:27" s="162" customFormat="1" x14ac:dyDescent="0.35">
      <c r="A43" s="115"/>
      <c r="B43" s="179" t="s">
        <v>75</v>
      </c>
      <c r="C43" s="232">
        <f>(I43*K43)+(L43*M43)+(N43*O43)+(P43*Q43)</f>
        <v>54823.8</v>
      </c>
      <c r="D43" s="233"/>
      <c r="E43" s="234">
        <f t="shared" si="2"/>
        <v>54823.8</v>
      </c>
      <c r="F43" s="135"/>
      <c r="G43" s="173" t="str">
        <f t="shared" si="1"/>
        <v>Per-Pupil Funding</v>
      </c>
      <c r="H43" s="138"/>
      <c r="I43" s="138">
        <f>SUM($I$8:$I$13)</f>
        <v>60</v>
      </c>
      <c r="J43" s="138"/>
      <c r="K43" s="143">
        <f>IF($I43=0,0,INDEX('Rates.Table'!$C$38:$C$61,MATCH("Y1Y6",'Rates.Table'!$B$38:$B$61,0)))</f>
        <v>913.73</v>
      </c>
      <c r="L43" s="138">
        <f>SUM($I$14:$I$15)</f>
        <v>0</v>
      </c>
      <c r="M43" s="143">
        <f>IF(L43=0,0,INDEX('Rates.Table'!$C$38:$C$61,MATCH("Y7Y8",'Rates.Table'!$B$38:$B$61,0)))</f>
        <v>0</v>
      </c>
      <c r="N43" s="138">
        <f>SUM($I$16:$I$17)</f>
        <v>0</v>
      </c>
      <c r="O43" s="143">
        <f>IF(N43=0,0,INDEX('Rates.Table'!$C$38:$C$61,MATCH("Y9Y10",'Rates.Table'!$B$38:$B$61,0)))</f>
        <v>0</v>
      </c>
      <c r="P43" s="138">
        <f>SUM($I$18:$I$20)</f>
        <v>0</v>
      </c>
      <c r="Q43" s="151">
        <f>IF(P43=0,0,INDEX('Rates.Table'!$C$38:$C$61,MATCH("Y11Y15",'Rates.Table'!$B$38:$B$61,0)))</f>
        <v>0</v>
      </c>
      <c r="R43" s="137"/>
      <c r="S43" s="115"/>
      <c r="T43" s="219"/>
      <c r="U43" s="218"/>
      <c r="V43" s="218"/>
      <c r="W43" s="218"/>
      <c r="X43" s="218"/>
      <c r="Y43" s="218"/>
      <c r="Z43" s="218"/>
      <c r="AA43" s="218"/>
    </row>
    <row r="44" spans="1:27" s="162" customFormat="1" x14ac:dyDescent="0.35">
      <c r="A44" s="115"/>
      <c r="B44" s="179" t="s">
        <v>76</v>
      </c>
      <c r="C44" s="232">
        <f>(I44*K44)+(L44*M44)</f>
        <v>933</v>
      </c>
      <c r="D44" s="233"/>
      <c r="E44" s="234">
        <f t="shared" si="2"/>
        <v>933</v>
      </c>
      <c r="F44" s="135"/>
      <c r="G44" s="173" t="str">
        <f t="shared" si="1"/>
        <v>KiwiSport</v>
      </c>
      <c r="H44" s="138"/>
      <c r="I44" s="138">
        <f>SUM($I$8:$I$15)</f>
        <v>60</v>
      </c>
      <c r="J44" s="138"/>
      <c r="K44" s="143">
        <f>IF($I44=0,0,INDEX('Rates.Table'!$C$38:$C$61,MATCH("Y1-Y8",'Rates.Table'!$B$38:$B$61,0)))</f>
        <v>15.55</v>
      </c>
      <c r="L44" s="138">
        <f>SUM($I$16:$I$20)</f>
        <v>0</v>
      </c>
      <c r="M44" s="143">
        <f>IF($L44=0,0,INDEX('Rates.Table'!$C$38:$C$61,MATCH("Y9-Y15",'Rates.Table'!$B$38:$B$61,0)))</f>
        <v>0</v>
      </c>
      <c r="N44" s="135"/>
      <c r="O44" s="135"/>
      <c r="P44" s="135"/>
      <c r="Q44" s="144"/>
      <c r="R44" s="137"/>
      <c r="S44" s="115"/>
      <c r="T44" s="219"/>
      <c r="U44" s="218"/>
      <c r="V44" s="218"/>
      <c r="W44" s="218"/>
      <c r="X44" s="218"/>
      <c r="Y44" s="218"/>
      <c r="Z44" s="218"/>
      <c r="AA44" s="218"/>
    </row>
    <row r="45" spans="1:27" s="162" customFormat="1" x14ac:dyDescent="0.35">
      <c r="A45" s="115"/>
      <c r="B45" s="179" t="s">
        <v>77</v>
      </c>
      <c r="C45" s="232">
        <f>(I45*K45)+(L45*M45)+(N45*O45)+(P45*Q45)</f>
        <v>0</v>
      </c>
      <c r="D45" s="233"/>
      <c r="E45" s="234">
        <f t="shared" si="2"/>
        <v>0</v>
      </c>
      <c r="F45" s="135"/>
      <c r="G45" s="173" t="str">
        <f t="shared" si="1"/>
        <v xml:space="preserve">Maori Language Programme </v>
      </c>
      <c r="H45" s="138"/>
      <c r="I45" s="138">
        <f>$O$11</f>
        <v>0</v>
      </c>
      <c r="J45" s="138"/>
      <c r="K45" s="143">
        <f>IF($I45=0,0,INDEX('Rates.Table'!$C$38:$C$61,MATCH("Level 1",'Rates.Table'!$B$38:$B$61,0)))</f>
        <v>0</v>
      </c>
      <c r="L45" s="138">
        <f>$O$12</f>
        <v>0</v>
      </c>
      <c r="M45" s="143">
        <f>IF($L45=0,0,INDEX('Rates.Table'!$C$38:$C$61,MATCH("Level 2",'Rates.Table'!$B$38:$B$61,0)))</f>
        <v>0</v>
      </c>
      <c r="N45" s="138">
        <f>$O$13</f>
        <v>0</v>
      </c>
      <c r="O45" s="143">
        <f>IF($N45=0,0,INDEX('Rates.Table'!$C$38:$C$61,MATCH("Level 3",'Rates.Table'!$B$38:$B$61,0)))</f>
        <v>0</v>
      </c>
      <c r="P45" s="138">
        <f>$O$14</f>
        <v>0</v>
      </c>
      <c r="Q45" s="151">
        <f>IF($P45=0,0,INDEX('Rates.Table'!$C$38:$C$61,MATCH("Level 4",'Rates.Table'!$B$38:$B$61,0)))</f>
        <v>0</v>
      </c>
      <c r="R45" s="137"/>
      <c r="S45" s="115"/>
      <c r="T45" s="219"/>
      <c r="U45" s="218"/>
      <c r="V45" s="218"/>
      <c r="W45" s="218"/>
      <c r="X45" s="218"/>
      <c r="Y45" s="218"/>
      <c r="Z45" s="218"/>
      <c r="AA45" s="218"/>
    </row>
    <row r="46" spans="1:27" s="162" customFormat="1" x14ac:dyDescent="0.35">
      <c r="A46" s="115"/>
      <c r="B46" s="179" t="s">
        <v>78</v>
      </c>
      <c r="C46" s="232">
        <f>I46*K46</f>
        <v>9810</v>
      </c>
      <c r="D46" s="233"/>
      <c r="E46" s="234">
        <f t="shared" si="2"/>
        <v>9810</v>
      </c>
      <c r="F46" s="135"/>
      <c r="G46" s="173" t="str">
        <f t="shared" si="1"/>
        <v>Donations Scheme</v>
      </c>
      <c r="H46" s="138"/>
      <c r="I46" s="138">
        <f>IF(AND($C$16&gt;=431,$C$20="Yes"),$I$21,0)</f>
        <v>60</v>
      </c>
      <c r="J46" s="138"/>
      <c r="K46" s="143">
        <f>IF(AND($C$16&gt;=431,$C$20="Yes"),INDEX('Rates.Table'!$C$38:$C$61,MATCH($B46,'Rates.Table'!$A$38:$A$61,0)),0)</f>
        <v>163.5</v>
      </c>
      <c r="L46" s="135"/>
      <c r="M46" s="135"/>
      <c r="N46" s="135"/>
      <c r="O46" s="135"/>
      <c r="P46" s="135"/>
      <c r="Q46" s="144"/>
      <c r="R46" s="137"/>
      <c r="S46" s="115"/>
      <c r="T46" s="219"/>
      <c r="U46" s="218"/>
      <c r="V46" s="218"/>
      <c r="W46" s="218"/>
      <c r="X46" s="218"/>
      <c r="Y46" s="218"/>
      <c r="Z46" s="218"/>
      <c r="AA46" s="218"/>
    </row>
    <row r="47" spans="1:27" s="162" customFormat="1" x14ac:dyDescent="0.35">
      <c r="A47" s="115"/>
      <c r="B47" s="179" t="s">
        <v>79</v>
      </c>
      <c r="C47" s="232">
        <f>(I47*K47)+(L47*M47)</f>
        <v>0</v>
      </c>
      <c r="D47" s="233"/>
      <c r="E47" s="234">
        <f t="shared" si="2"/>
        <v>0</v>
      </c>
      <c r="F47" s="135"/>
      <c r="G47" s="173" t="str">
        <f t="shared" si="1"/>
        <v>Pacific Bilingual and Immersion Funding</v>
      </c>
      <c r="H47" s="135"/>
      <c r="I47" s="138">
        <f>$O$19</f>
        <v>0</v>
      </c>
      <c r="J47" s="138"/>
      <c r="K47" s="143">
        <f>IF($I47=0,0,INDEX('Rates.Table'!$C$50:$C$51,MATCH("Level 1",'Rates.Table'!$B$50:$B$51,0)))</f>
        <v>0</v>
      </c>
      <c r="L47" s="138">
        <f>$O$20</f>
        <v>0</v>
      </c>
      <c r="M47" s="143">
        <f>IF($L47=0,0,INDEX('Rates.Table'!$C$50:$C$51,MATCH("Level 2",'Rates.Table'!$B$50:$B$51,0)))</f>
        <v>0</v>
      </c>
      <c r="N47" s="135"/>
      <c r="O47" s="135"/>
      <c r="P47" s="135"/>
      <c r="Q47" s="144"/>
      <c r="R47" s="137"/>
      <c r="S47" s="115"/>
      <c r="T47" s="219"/>
      <c r="U47" s="218"/>
      <c r="V47" s="218"/>
      <c r="W47" s="218"/>
      <c r="X47" s="218"/>
      <c r="Y47" s="218"/>
      <c r="Z47" s="218"/>
      <c r="AA47" s="218"/>
    </row>
    <row r="48" spans="1:27" s="162" customFormat="1" x14ac:dyDescent="0.35">
      <c r="A48" s="115"/>
      <c r="B48" s="179" t="s">
        <v>80</v>
      </c>
      <c r="C48" s="232">
        <f>(I48*K48)+(L48*M48)</f>
        <v>0</v>
      </c>
      <c r="D48" s="233"/>
      <c r="E48" s="234">
        <f t="shared" si="2"/>
        <v>0</v>
      </c>
      <c r="F48" s="135"/>
      <c r="G48" s="173" t="str">
        <f t="shared" si="1"/>
        <v>STAR Funding</v>
      </c>
      <c r="H48" s="135"/>
      <c r="I48" s="138">
        <f>MIN(30,SUM($I$18:$I$20))</f>
        <v>0</v>
      </c>
      <c r="J48" s="138"/>
      <c r="K48" s="143">
        <f>IF($I48=0,0,INDEX('Rates.Table'!$C$52:$C$653,MATCH("First 30 Units",'Rates.Table'!$B$52:$B$53,0)))</f>
        <v>0</v>
      </c>
      <c r="L48" s="138">
        <f>MAX(0,SUM($I$18:$I$20)-30)</f>
        <v>0</v>
      </c>
      <c r="M48" s="143">
        <f>IF($L48=0,0,INDEX('Rates.Table'!$C$52:$C$653,MATCH("Remaining Units",'Rates.Table'!$B$52:$B$53,0)))</f>
        <v>0</v>
      </c>
      <c r="N48" s="135"/>
      <c r="O48" s="135"/>
      <c r="P48" s="135"/>
      <c r="Q48" s="144"/>
      <c r="R48" s="137"/>
      <c r="S48" s="115"/>
      <c r="T48" s="219"/>
      <c r="U48" s="218"/>
      <c r="V48" s="218"/>
      <c r="W48" s="218"/>
      <c r="X48" s="218"/>
      <c r="Y48" s="218"/>
      <c r="Z48" s="218"/>
      <c r="AA48" s="218"/>
    </row>
    <row r="49" spans="1:27" s="162" customFormat="1" x14ac:dyDescent="0.35">
      <c r="A49" s="115"/>
      <c r="B49" s="179" t="s">
        <v>81</v>
      </c>
      <c r="C49" s="232">
        <f>I49*K49</f>
        <v>0</v>
      </c>
      <c r="D49" s="233"/>
      <c r="E49" s="234">
        <f t="shared" si="2"/>
        <v>0</v>
      </c>
      <c r="F49" s="135"/>
      <c r="G49" s="173" t="str">
        <f t="shared" si="1"/>
        <v>Risk Management Scheme Premium</v>
      </c>
      <c r="H49" s="135"/>
      <c r="I49" s="138">
        <f>IF($C$19="Yes",$I$21,0)</f>
        <v>0</v>
      </c>
      <c r="J49" s="138"/>
      <c r="K49" s="143">
        <f>IF($I49=0,0,INDEX('Rates.Table'!$C$38:$C$61,MATCH($B49,'Rates.Table'!$A$38:$A$61,0)))</f>
        <v>0</v>
      </c>
      <c r="L49" s="135"/>
      <c r="M49" s="135"/>
      <c r="N49" s="135"/>
      <c r="O49" s="135"/>
      <c r="P49" s="135"/>
      <c r="Q49" s="144"/>
      <c r="R49" s="137"/>
      <c r="S49" s="115"/>
      <c r="T49" s="219"/>
      <c r="U49" s="218"/>
      <c r="V49" s="218"/>
      <c r="W49" s="218"/>
      <c r="X49" s="218"/>
      <c r="Y49" s="218"/>
      <c r="Z49" s="218"/>
      <c r="AA49" s="218"/>
    </row>
    <row r="50" spans="1:27" x14ac:dyDescent="0.35">
      <c r="B50" s="179" t="s">
        <v>82</v>
      </c>
      <c r="C50" s="232">
        <f>I50*K50</f>
        <v>0</v>
      </c>
      <c r="D50" s="233"/>
      <c r="E50" s="234">
        <f t="shared" si="2"/>
        <v>0</v>
      </c>
      <c r="F50" s="135"/>
      <c r="G50" s="173" t="str">
        <f t="shared" si="1"/>
        <v xml:space="preserve">Vandalism </v>
      </c>
      <c r="H50" s="135"/>
      <c r="I50" s="138">
        <f>$I$21</f>
        <v>60</v>
      </c>
      <c r="J50" s="138"/>
      <c r="K50" s="143">
        <f>IFERROR(IF($I50=0,0,INDEX('Rates.Table'!$C$38:$C$61,MATCH(C18,'Rates.Table'!$B$38:$B$61,0))),0)</f>
        <v>0</v>
      </c>
      <c r="L50" s="135"/>
      <c r="M50" s="135"/>
      <c r="N50" s="135"/>
      <c r="O50" s="135"/>
      <c r="P50" s="135"/>
      <c r="Q50" s="144"/>
      <c r="R50" s="137"/>
      <c r="T50" s="219"/>
      <c r="U50" s="218"/>
      <c r="V50" s="218"/>
      <c r="W50" s="218"/>
      <c r="X50" s="218"/>
      <c r="Y50" s="218"/>
      <c r="Z50" s="218"/>
      <c r="AA50" s="218"/>
    </row>
    <row r="51" spans="1:27" x14ac:dyDescent="0.35">
      <c r="B51" s="179" t="s">
        <v>83</v>
      </c>
      <c r="C51" s="232">
        <f>((I51*K51)+(L51*M51))*$C$16</f>
        <v>33534</v>
      </c>
      <c r="D51" s="233"/>
      <c r="E51" s="234">
        <f t="shared" si="2"/>
        <v>33534</v>
      </c>
      <c r="F51" s="135"/>
      <c r="G51" s="173" t="str">
        <f t="shared" si="1"/>
        <v>Non-teacher top-up funding</v>
      </c>
      <c r="H51" s="135"/>
      <c r="I51" s="138">
        <f>$U$7</f>
        <v>60</v>
      </c>
      <c r="J51" s="138"/>
      <c r="K51" s="143">
        <f>IF($I51=0,0,SUMIFS('Rates.Table'!$C$86:$C$91,'Rates.Table'!$A$86:$A$91,"first_student",'Rates.Table'!$B$86:$B$91,$C$9))</f>
        <v>1.1499999999999999</v>
      </c>
      <c r="L51" s="138">
        <f>$U$9</f>
        <v>0</v>
      </c>
      <c r="M51" s="143">
        <f>IF($I51=0,0,SUMIFS('Rates.Table'!$C$86:$C$91,'Rates.Table'!$A$86:$A$91,"extra_student",'Rates.Table'!$B$86:$B$91,$C$9))</f>
        <v>0.57999999999999996</v>
      </c>
      <c r="N51" s="135"/>
      <c r="O51" s="135"/>
      <c r="P51" s="135"/>
      <c r="Q51" s="144"/>
      <c r="R51" s="137"/>
      <c r="T51" s="219"/>
      <c r="U51" s="218"/>
      <c r="V51" s="218"/>
      <c r="W51" s="218"/>
      <c r="X51" s="218"/>
      <c r="Y51" s="218"/>
      <c r="Z51" s="218"/>
      <c r="AA51" s="218"/>
    </row>
    <row r="52" spans="1:27" x14ac:dyDescent="0.35">
      <c r="B52" s="212" t="s">
        <v>84</v>
      </c>
      <c r="C52" s="235">
        <f>SUBTOTAL(9,C35:C51)</f>
        <v>181879.2</v>
      </c>
      <c r="D52" s="236"/>
      <c r="E52" s="237">
        <f>SUBTOTAL(9,E35:E51)</f>
        <v>181879.2</v>
      </c>
      <c r="F52" s="135"/>
      <c r="G52" s="174"/>
      <c r="H52" s="146"/>
      <c r="I52" s="147"/>
      <c r="J52" s="147"/>
      <c r="K52" s="147"/>
      <c r="L52" s="146"/>
      <c r="M52" s="146"/>
      <c r="N52" s="146"/>
      <c r="O52" s="146"/>
      <c r="P52" s="146"/>
      <c r="Q52" s="148"/>
      <c r="R52" s="137"/>
      <c r="T52" s="219"/>
      <c r="U52" s="218"/>
      <c r="V52" s="218"/>
      <c r="W52" s="218"/>
      <c r="X52" s="218"/>
      <c r="Y52" s="218"/>
      <c r="Z52" s="218"/>
      <c r="AA52" s="218"/>
    </row>
    <row r="53" spans="1:27" x14ac:dyDescent="0.35">
      <c r="B53" s="210" t="s">
        <v>290</v>
      </c>
      <c r="C53" s="229"/>
      <c r="D53" s="238"/>
      <c r="E53" s="231"/>
      <c r="F53" s="135"/>
      <c r="G53" s="175"/>
      <c r="H53" s="135"/>
      <c r="I53" s="138"/>
      <c r="J53" s="138"/>
      <c r="K53" s="138"/>
      <c r="L53" s="135"/>
      <c r="M53" s="135"/>
      <c r="N53" s="135"/>
      <c r="O53" s="135"/>
      <c r="P53" s="135"/>
      <c r="Q53" s="144"/>
      <c r="R53" s="137"/>
      <c r="T53" s="218"/>
      <c r="U53" s="218"/>
      <c r="V53" s="218"/>
      <c r="W53" s="218"/>
      <c r="X53" s="218"/>
      <c r="Y53" s="218"/>
      <c r="Z53" s="218"/>
      <c r="AA53" s="218"/>
    </row>
    <row r="54" spans="1:27" x14ac:dyDescent="0.35">
      <c r="B54" s="179" t="s">
        <v>85</v>
      </c>
      <c r="C54" s="232">
        <f>I54*K54</f>
        <v>2797.2</v>
      </c>
      <c r="D54" s="233"/>
      <c r="E54" s="234">
        <f>SUM(C54:D54)</f>
        <v>2797.2</v>
      </c>
      <c r="F54" s="135"/>
      <c r="G54" s="173" t="str">
        <f>B54</f>
        <v>Payroll</v>
      </c>
      <c r="H54" s="135"/>
      <c r="I54" s="138">
        <f>$I$21</f>
        <v>60</v>
      </c>
      <c r="J54" s="138"/>
      <c r="K54" s="143">
        <f>IF($I54=0,0,'Rates.Table'!$B$96)</f>
        <v>46.62</v>
      </c>
      <c r="L54" s="135"/>
      <c r="M54" s="135"/>
      <c r="N54" s="135"/>
      <c r="O54" s="135"/>
      <c r="P54" s="135"/>
      <c r="Q54" s="144"/>
      <c r="R54" s="137"/>
      <c r="T54" s="219"/>
      <c r="U54" s="218"/>
      <c r="V54" s="218"/>
      <c r="W54" s="218"/>
      <c r="X54" s="218"/>
      <c r="Y54" s="218"/>
      <c r="Z54" s="218"/>
      <c r="AA54" s="218"/>
    </row>
    <row r="55" spans="1:27" x14ac:dyDescent="0.35">
      <c r="B55" s="179" t="s">
        <v>86</v>
      </c>
      <c r="C55" s="232">
        <f>I55*K55</f>
        <v>751.8</v>
      </c>
      <c r="D55" s="233"/>
      <c r="E55" s="234">
        <f>SUM(C55:D55)</f>
        <v>751.8</v>
      </c>
      <c r="F55" s="135"/>
      <c r="G55" s="173" t="str">
        <f>B55</f>
        <v>Professional Learning and Development (PLD)</v>
      </c>
      <c r="H55" s="135"/>
      <c r="I55" s="138">
        <f>$I$21</f>
        <v>60</v>
      </c>
      <c r="J55" s="138"/>
      <c r="K55" s="143">
        <f>IF($I55=0,0,'Rates.Table'!$B$97)</f>
        <v>12.53</v>
      </c>
      <c r="L55" s="135"/>
      <c r="M55" s="135"/>
      <c r="N55" s="135"/>
      <c r="O55" s="135"/>
      <c r="P55" s="135"/>
      <c r="Q55" s="144"/>
      <c r="R55" s="137"/>
      <c r="T55" s="219"/>
      <c r="U55" s="218"/>
      <c r="V55" s="218"/>
      <c r="W55" s="218"/>
      <c r="X55" s="218"/>
      <c r="Y55" s="218"/>
      <c r="Z55" s="218"/>
      <c r="AA55" s="218"/>
    </row>
    <row r="56" spans="1:27" x14ac:dyDescent="0.35">
      <c r="B56" s="179" t="s">
        <v>87</v>
      </c>
      <c r="C56" s="232">
        <f>I56*K56</f>
        <v>4593.6000000000004</v>
      </c>
      <c r="D56" s="233"/>
      <c r="E56" s="234">
        <f>SUM(C56:D56)</f>
        <v>4593.6000000000004</v>
      </c>
      <c r="F56" s="135"/>
      <c r="G56" s="173" t="str">
        <f>B56</f>
        <v>Digital</v>
      </c>
      <c r="H56" s="135"/>
      <c r="I56" s="138">
        <f>$I$21</f>
        <v>60</v>
      </c>
      <c r="J56" s="138"/>
      <c r="K56" s="143">
        <f>IF($I56=0,0,'Rates.Table'!$B$98)</f>
        <v>76.56</v>
      </c>
      <c r="L56" s="135"/>
      <c r="M56" s="135"/>
      <c r="N56" s="135"/>
      <c r="O56" s="135"/>
      <c r="P56" s="135"/>
      <c r="Q56" s="144"/>
      <c r="R56" s="137"/>
      <c r="T56" s="219"/>
      <c r="U56" s="218"/>
      <c r="V56" s="218"/>
      <c r="W56" s="218"/>
      <c r="X56" s="218"/>
      <c r="Y56" s="218"/>
      <c r="Z56" s="218"/>
      <c r="AA56" s="218"/>
    </row>
    <row r="57" spans="1:27" x14ac:dyDescent="0.35">
      <c r="B57" s="212" t="s">
        <v>88</v>
      </c>
      <c r="C57" s="235">
        <f>SUBTOTAL(9,C54:C56)</f>
        <v>8142.6</v>
      </c>
      <c r="D57" s="236"/>
      <c r="E57" s="237">
        <f>SUBTOTAL(9,E54:E56)</f>
        <v>8142.6</v>
      </c>
      <c r="F57" s="135"/>
      <c r="G57" s="174"/>
      <c r="H57" s="146"/>
      <c r="I57" s="147"/>
      <c r="J57" s="147"/>
      <c r="K57" s="147"/>
      <c r="L57" s="146"/>
      <c r="M57" s="146"/>
      <c r="N57" s="146"/>
      <c r="O57" s="146"/>
      <c r="P57" s="146"/>
      <c r="Q57" s="148"/>
      <c r="R57" s="137"/>
      <c r="T57" s="218"/>
      <c r="U57" s="218"/>
      <c r="V57" s="218"/>
      <c r="W57" s="218"/>
      <c r="X57" s="218"/>
      <c r="Y57" s="218"/>
      <c r="Z57" s="218"/>
      <c r="AA57" s="218"/>
    </row>
    <row r="58" spans="1:27" x14ac:dyDescent="0.35">
      <c r="B58" s="210" t="s">
        <v>291</v>
      </c>
      <c r="C58" s="229"/>
      <c r="D58" s="238"/>
      <c r="E58" s="231"/>
      <c r="F58" s="135"/>
      <c r="G58" s="175"/>
      <c r="H58" s="135"/>
      <c r="I58" s="135"/>
      <c r="J58" s="135"/>
      <c r="K58" s="135"/>
      <c r="L58" s="135"/>
      <c r="M58" s="135"/>
      <c r="N58" s="135"/>
      <c r="O58" s="135"/>
      <c r="P58" s="135"/>
      <c r="Q58" s="144"/>
      <c r="R58" s="137"/>
      <c r="T58" s="218"/>
      <c r="U58" s="218"/>
      <c r="V58" s="218"/>
      <c r="W58" s="218"/>
      <c r="X58" s="218"/>
      <c r="Y58" s="218"/>
      <c r="Z58" s="218"/>
      <c r="AA58" s="218"/>
    </row>
    <row r="59" spans="1:27" x14ac:dyDescent="0.35">
      <c r="B59" s="179" t="s">
        <v>89</v>
      </c>
      <c r="C59" s="232">
        <f>((I59*K59)+(L59*N59))/2</f>
        <v>4983.6000000000004</v>
      </c>
      <c r="D59" s="239">
        <f>((J59*K59)+(M59*N59))/2</f>
        <v>10622.3</v>
      </c>
      <c r="E59" s="234">
        <f>SUM(C59:D59)</f>
        <v>15605.9</v>
      </c>
      <c r="F59" s="135"/>
      <c r="G59" s="173" t="str">
        <f t="shared" ref="G59:G64" si="3">B59</f>
        <v xml:space="preserve">Property Maintenance </v>
      </c>
      <c r="H59" s="135"/>
      <c r="I59" s="138">
        <f>$U$7</f>
        <v>60</v>
      </c>
      <c r="J59" s="138">
        <f>$V$7</f>
        <v>100</v>
      </c>
      <c r="K59" s="143">
        <f>IFERROR(SUMIFS('Rates.Table'!$C$223:$C$228,'Rates.Table'!$B$223:$B$228,"first_student",'Rates.Table'!$A$223:$A$228,$C$9),0)</f>
        <v>166.12</v>
      </c>
      <c r="L59" s="138">
        <f>$U$9</f>
        <v>0</v>
      </c>
      <c r="M59" s="138">
        <f>$V$9</f>
        <v>60</v>
      </c>
      <c r="N59" s="143">
        <f>SUMIFS('Rates.Table'!$C$223:$C$228,'Rates.Table'!$B$223:$B$228,"extra_student",'Rates.Table'!$A$223:$A$228,$C$9)</f>
        <v>77.209999999999994</v>
      </c>
      <c r="O59" s="135"/>
      <c r="P59" s="135"/>
      <c r="Q59" s="144"/>
      <c r="R59" s="137"/>
      <c r="T59" s="218"/>
      <c r="U59" s="218"/>
      <c r="V59" s="219"/>
      <c r="W59" s="219"/>
      <c r="X59" s="218"/>
      <c r="Y59" s="218"/>
      <c r="Z59" s="218"/>
      <c r="AA59" s="218"/>
    </row>
    <row r="60" spans="1:27" x14ac:dyDescent="0.35">
      <c r="B60" s="179" t="s">
        <v>90</v>
      </c>
      <c r="C60" s="232">
        <f t="shared" ref="C60:C62" si="4">((I60*K60)+(L60*N60))/2</f>
        <v>1704.8999999999999</v>
      </c>
      <c r="D60" s="239">
        <f t="shared" ref="D60:D64" si="5">((J60*K60)+(M60*N60))/2</f>
        <v>3269.9</v>
      </c>
      <c r="E60" s="234">
        <f t="shared" ref="E60:E63" si="6">SUM(C60:D60)</f>
        <v>4974.8</v>
      </c>
      <c r="F60" s="135"/>
      <c r="G60" s="173" t="str">
        <f t="shared" si="3"/>
        <v>Furniture and Equipment</v>
      </c>
      <c r="H60" s="135"/>
      <c r="I60" s="138">
        <f>$U$7</f>
        <v>60</v>
      </c>
      <c r="J60" s="138">
        <f t="shared" ref="J60:J62" si="7">$V$7</f>
        <v>100</v>
      </c>
      <c r="K60" s="143">
        <f>IFERROR(SUMIFS('Rates.Table'!$C$232:$C$237,'Rates.Table'!$B$232:$B$237,"first_student",'Rates.Table'!$A$232:$A$237,$C$9),0)</f>
        <v>56.83</v>
      </c>
      <c r="L60" s="138">
        <f t="shared" ref="L60:L64" si="8">$U$9</f>
        <v>0</v>
      </c>
      <c r="M60" s="138">
        <f t="shared" ref="M60:M64" si="9">$V$9</f>
        <v>60</v>
      </c>
      <c r="N60" s="143">
        <f>SUMIFS('Rates.Table'!$C$232:$C$237,'Rates.Table'!$B$232:$B$237,"extra_student",'Rates.Table'!$A$232:$A$237,$C$9)</f>
        <v>14.28</v>
      </c>
      <c r="O60" s="135"/>
      <c r="P60" s="135"/>
      <c r="Q60" s="144"/>
      <c r="R60" s="137"/>
      <c r="T60" s="218"/>
      <c r="U60" s="218"/>
      <c r="V60" s="219"/>
      <c r="W60" s="219"/>
      <c r="X60" s="218"/>
      <c r="Y60" s="218"/>
      <c r="Z60" s="218"/>
      <c r="AA60" s="218"/>
    </row>
    <row r="61" spans="1:27" x14ac:dyDescent="0.35">
      <c r="B61" s="179" t="s">
        <v>91</v>
      </c>
      <c r="C61" s="232">
        <f t="shared" si="4"/>
        <v>0</v>
      </c>
      <c r="D61" s="239">
        <f t="shared" si="5"/>
        <v>0</v>
      </c>
      <c r="E61" s="234">
        <f t="shared" si="6"/>
        <v>0</v>
      </c>
      <c r="F61" s="135"/>
      <c r="G61" s="173" t="str">
        <f t="shared" si="3"/>
        <v>Capital Maintenance - OPEX</v>
      </c>
      <c r="H61" s="135"/>
      <c r="I61" s="138">
        <f>$U$7</f>
        <v>60</v>
      </c>
      <c r="J61" s="138">
        <f t="shared" si="7"/>
        <v>100</v>
      </c>
      <c r="K61" s="143">
        <f>IF($C$13="Ministry Owned",SUMIFS('Rates.Table'!$D$264:$D$269,'Rates.Table'!$B$264:$B$269,"first_student",'Rates.Table'!$A$264:$A$269,$C$9),0)</f>
        <v>0</v>
      </c>
      <c r="L61" s="138">
        <f t="shared" si="8"/>
        <v>0</v>
      </c>
      <c r="M61" s="138">
        <f t="shared" si="9"/>
        <v>60</v>
      </c>
      <c r="N61" s="143">
        <f>IF($C$13="Ministry Owned",SUMIFS('Rates.Table'!$D$264:$D$269,'Rates.Table'!$B$264:$B$269,"extra_student",'Rates.Table'!$A$264:$A$269,$C$9),0)</f>
        <v>0</v>
      </c>
      <c r="O61" s="135"/>
      <c r="P61" s="135"/>
      <c r="Q61" s="144"/>
      <c r="R61" s="137"/>
      <c r="T61" s="218"/>
      <c r="U61" s="218"/>
      <c r="V61" s="219"/>
      <c r="W61" s="219"/>
      <c r="X61" s="218"/>
      <c r="Y61" s="218"/>
      <c r="Z61" s="218"/>
      <c r="AA61" s="218"/>
    </row>
    <row r="62" spans="1:27" x14ac:dyDescent="0.35">
      <c r="B62" s="179" t="s">
        <v>92</v>
      </c>
      <c r="C62" s="232">
        <f t="shared" si="4"/>
        <v>0</v>
      </c>
      <c r="D62" s="239">
        <f t="shared" si="5"/>
        <v>0</v>
      </c>
      <c r="E62" s="234">
        <f t="shared" si="6"/>
        <v>0</v>
      </c>
      <c r="F62" s="135"/>
      <c r="G62" s="173" t="str">
        <f t="shared" si="3"/>
        <v>Capital Maintenance - CAPEX</v>
      </c>
      <c r="H62" s="135"/>
      <c r="I62" s="138">
        <f>$U$7</f>
        <v>60</v>
      </c>
      <c r="J62" s="138">
        <f t="shared" si="7"/>
        <v>100</v>
      </c>
      <c r="K62" s="143">
        <f>IF($C$13="Ministry Owned",SUMIFS('Rates.Table'!$D$264:$D$269,'Rates.Table'!$B$264:$B$269,"first_student",'Rates.Table'!$A$264:$A$269,$C$9),0)</f>
        <v>0</v>
      </c>
      <c r="L62" s="138">
        <f t="shared" si="8"/>
        <v>0</v>
      </c>
      <c r="M62" s="138">
        <f t="shared" si="9"/>
        <v>60</v>
      </c>
      <c r="N62" s="143">
        <f>IF($C$13="Ministry Owned",SUMIFS('Rates.Table'!$D$264:$D$269,'Rates.Table'!$B$264:$B$269,"extra_student",'Rates.Table'!$A$264:$A$269,$C$9),0)</f>
        <v>0</v>
      </c>
      <c r="O62" s="135"/>
      <c r="P62" s="135"/>
      <c r="Q62" s="144"/>
      <c r="R62" s="137"/>
      <c r="T62" s="218"/>
      <c r="U62" s="218"/>
      <c r="V62" s="219"/>
      <c r="W62" s="219"/>
      <c r="X62" s="218"/>
      <c r="Y62" s="218"/>
      <c r="Z62" s="218"/>
      <c r="AA62" s="218"/>
    </row>
    <row r="63" spans="1:27" x14ac:dyDescent="0.35">
      <c r="B63" s="179" t="s">
        <v>93</v>
      </c>
      <c r="C63" s="232">
        <f>(I63*K63)/2</f>
        <v>0</v>
      </c>
      <c r="D63" s="239">
        <f>(J63*K63)/2</f>
        <v>0</v>
      </c>
      <c r="E63" s="234">
        <f t="shared" si="6"/>
        <v>0</v>
      </c>
      <c r="F63" s="135"/>
      <c r="G63" s="173" t="str">
        <f t="shared" si="3"/>
        <v>Capital Maintenance - Sponsor Owned</v>
      </c>
      <c r="H63" s="135"/>
      <c r="I63" s="138">
        <f>IF($C$13="Sponsor Owned",
I$21,0)</f>
        <v>0</v>
      </c>
      <c r="J63" s="138">
        <f>IF($C$13="Sponsor Owned",
J$21,0)</f>
        <v>0</v>
      </c>
      <c r="K63" s="143">
        <f>IF($C$13="Sponsor Owned",'Rates.Table'!$A$258,0)</f>
        <v>0</v>
      </c>
      <c r="L63" s="138"/>
      <c r="M63" s="138"/>
      <c r="N63" s="143"/>
      <c r="O63" s="135"/>
      <c r="P63" s="135"/>
      <c r="Q63" s="144"/>
      <c r="R63" s="137"/>
      <c r="T63" s="218"/>
      <c r="U63" s="218"/>
      <c r="V63" s="219"/>
      <c r="W63" s="219"/>
      <c r="X63" s="218"/>
      <c r="Y63" s="218"/>
      <c r="Z63" s="218"/>
      <c r="AA63" s="218"/>
    </row>
    <row r="64" spans="1:27" x14ac:dyDescent="0.35">
      <c r="B64" s="179" t="s">
        <v>94</v>
      </c>
      <c r="C64" s="232">
        <f>((I64*K64)+(L64*N64))/2</f>
        <v>123751.2</v>
      </c>
      <c r="D64" s="239">
        <f t="shared" si="5"/>
        <v>258413</v>
      </c>
      <c r="E64" s="234">
        <f>SUM(C64:D64)</f>
        <v>382164.2</v>
      </c>
      <c r="F64" s="135"/>
      <c r="G64" s="173" t="str">
        <f t="shared" si="3"/>
        <v>Lease Based Funding</v>
      </c>
      <c r="H64" s="135"/>
      <c r="I64" s="138">
        <f>$U$7</f>
        <v>60</v>
      </c>
      <c r="J64" s="138">
        <f>$V$7</f>
        <v>100</v>
      </c>
      <c r="K64" s="143">
        <f>IF($C$13="Leased From Third Party",
SUMIFS('Rates.Table'!$D$242:$D$253,'Rates.Table'!$B$242:$B$253,"first_student",'Rates.Table'!A$242:$A$253,$C$9,'Rates.Table'!$C$242:$C$253,$C$15),0)</f>
        <v>4125.04</v>
      </c>
      <c r="L64" s="138">
        <f t="shared" si="8"/>
        <v>0</v>
      </c>
      <c r="M64" s="138">
        <f t="shared" si="9"/>
        <v>60</v>
      </c>
      <c r="N64" s="143">
        <f>IF($C$13="Leased From Third Party",
SUMIFS('Rates.Table'!$D$242:$D$253,'Rates.Table'!$B$242:$B$253,"extra_student",'Rates.Table'!A$242:$A$253,$C$9,'Rates.Table'!$C$242:$C$253,$C$15),0)</f>
        <v>1738.7</v>
      </c>
      <c r="O64" s="135"/>
      <c r="P64" s="135"/>
      <c r="Q64" s="144"/>
      <c r="R64" s="137"/>
      <c r="T64" s="218"/>
      <c r="U64" s="218"/>
      <c r="V64" s="219"/>
      <c r="W64" s="219"/>
      <c r="X64" s="218"/>
      <c r="Y64" s="218"/>
      <c r="Z64" s="218"/>
      <c r="AA64" s="218"/>
    </row>
    <row r="65" spans="2:27" x14ac:dyDescent="0.35">
      <c r="B65" s="212" t="s">
        <v>95</v>
      </c>
      <c r="C65" s="235">
        <f>SUBTOTAL(9,C59:C64)</f>
        <v>130439.7</v>
      </c>
      <c r="D65" s="236">
        <f>SUBTOTAL(9,D59:D64)</f>
        <v>272305.2</v>
      </c>
      <c r="E65" s="237">
        <f>SUBTOTAL(9,E59:E64)</f>
        <v>402744.9</v>
      </c>
      <c r="F65" s="135"/>
      <c r="G65" s="174"/>
      <c r="H65" s="146"/>
      <c r="I65" s="147"/>
      <c r="J65" s="147"/>
      <c r="K65" s="147"/>
      <c r="L65" s="146"/>
      <c r="M65" s="146"/>
      <c r="N65" s="146"/>
      <c r="O65" s="146"/>
      <c r="P65" s="146"/>
      <c r="Q65" s="148"/>
      <c r="R65" s="137"/>
      <c r="T65" s="218"/>
      <c r="U65" s="218"/>
      <c r="V65" s="220"/>
      <c r="W65" s="219"/>
      <c r="X65" s="221"/>
      <c r="Y65" s="218"/>
      <c r="Z65" s="218"/>
      <c r="AA65" s="218"/>
    </row>
    <row r="66" spans="2:27" x14ac:dyDescent="0.35">
      <c r="B66" s="213" t="s">
        <v>292</v>
      </c>
      <c r="C66" s="240">
        <f>SUBTOTAL(9,C28:C65)</f>
        <v>747540.29999999993</v>
      </c>
      <c r="D66" s="241">
        <f>SUBTOTAL(9,D28:D65)</f>
        <v>272305.2</v>
      </c>
      <c r="E66" s="242">
        <f>SUBTOTAL(9,E28:E65)</f>
        <v>1019845.5</v>
      </c>
      <c r="F66" s="135"/>
      <c r="G66" s="175"/>
      <c r="H66" s="165"/>
      <c r="I66" s="166"/>
      <c r="J66" s="166"/>
      <c r="K66" s="166"/>
      <c r="L66" s="165"/>
      <c r="M66" s="165"/>
      <c r="N66" s="165"/>
      <c r="O66" s="165"/>
      <c r="P66" s="165"/>
      <c r="Q66" s="144"/>
      <c r="R66" s="137"/>
      <c r="T66" s="218"/>
      <c r="U66" s="218"/>
      <c r="V66" s="220"/>
      <c r="W66" s="218"/>
      <c r="X66" s="218"/>
      <c r="Y66" s="218"/>
      <c r="Z66" s="218"/>
      <c r="AA66" s="218"/>
    </row>
    <row r="67" spans="2:27" x14ac:dyDescent="0.35">
      <c r="B67" s="210" t="s">
        <v>96</v>
      </c>
      <c r="C67" s="229"/>
      <c r="D67" s="238"/>
      <c r="E67" s="231"/>
      <c r="F67" s="135"/>
      <c r="G67" s="175"/>
      <c r="H67" s="135"/>
      <c r="I67" s="135"/>
      <c r="J67" s="135"/>
      <c r="K67" s="135"/>
      <c r="L67" s="135"/>
      <c r="M67" s="135"/>
      <c r="N67" s="135"/>
      <c r="O67" s="135"/>
      <c r="P67" s="135"/>
      <c r="Q67" s="144"/>
      <c r="R67" s="137"/>
      <c r="T67" s="218"/>
      <c r="U67" s="218"/>
      <c r="V67" s="220"/>
      <c r="W67" s="218"/>
      <c r="X67" s="218"/>
      <c r="Y67" s="218"/>
      <c r="Z67" s="218"/>
      <c r="AA67" s="218"/>
    </row>
    <row r="68" spans="2:27" x14ac:dyDescent="0.35">
      <c r="B68" s="248" t="s">
        <v>97</v>
      </c>
      <c r="C68" s="249"/>
      <c r="D68" s="239">
        <f>((J68*K68)+(M68*N68))</f>
        <v>336417.60000000003</v>
      </c>
      <c r="E68" s="234">
        <f>SUM(C68:D68)</f>
        <v>336417.60000000003</v>
      </c>
      <c r="F68" s="135"/>
      <c r="G68" s="173" t="str">
        <f t="shared" ref="G68:G75" si="10">B68</f>
        <v>Establishment Operational Funding</v>
      </c>
      <c r="H68" s="135"/>
      <c r="I68" s="138"/>
      <c r="J68" s="138">
        <f>IF($C$10="Yes",
IF($J$21&gt;200,200,J$21),0)</f>
        <v>160</v>
      </c>
      <c r="K68" s="143">
        <f>IF(J68=0,0,SUMIFS('Rates.Table'!$B$104:$B$106,'Rates.Table'!$A$104:$A$106,$C$9))</f>
        <v>2102.61</v>
      </c>
      <c r="L68" s="138"/>
      <c r="M68" s="138">
        <f>IF($C$10="Yes",IF($J$21&gt;200,$J$21-200,0))</f>
        <v>0</v>
      </c>
      <c r="N68" s="143">
        <f>SUMIFS('Rates.Table'!$C$104:$C$106,'Rates.Table'!$A$104:$A$106,$C$9)</f>
        <v>1100.3499999999999</v>
      </c>
      <c r="O68" s="135"/>
      <c r="P68" s="135"/>
      <c r="Q68" s="144"/>
      <c r="R68" s="137"/>
      <c r="T68" s="218"/>
      <c r="U68" s="218"/>
      <c r="V68" s="219"/>
      <c r="W68" s="219"/>
      <c r="X68" s="218"/>
      <c r="Y68" s="218"/>
      <c r="Z68" s="218"/>
      <c r="AA68" s="218"/>
    </row>
    <row r="69" spans="2:27" x14ac:dyDescent="0.35">
      <c r="B69" s="248" t="s">
        <v>98</v>
      </c>
      <c r="C69" s="249"/>
      <c r="D69" s="239">
        <f>((J69*K69)+(M69*N69)+P69)</f>
        <v>76989.13</v>
      </c>
      <c r="E69" s="234">
        <f t="shared" ref="E69:E75" si="11">SUM(C69:D69)</f>
        <v>76989.13</v>
      </c>
      <c r="F69" s="135"/>
      <c r="G69" s="173" t="str">
        <f t="shared" si="10"/>
        <v>Establishment Senior Management Funding</v>
      </c>
      <c r="H69" s="135"/>
      <c r="I69" s="138"/>
      <c r="J69" s="138">
        <f>IF($C$10="Yes",
IF($J$21&gt;200,200,J$21),0)</f>
        <v>160</v>
      </c>
      <c r="K69" s="143">
        <f>IF($C$10="Yes",INDEX('Rates.Table'!$C$111:$C$113,MATCH($C$9,'Rates.Table'!$B$111:$B$113,0)),0)</f>
        <v>290.22000000000003</v>
      </c>
      <c r="L69" s="138"/>
      <c r="M69" s="138">
        <f>IF($C$10="Yes",IF(MAX($J$21&gt;200,200,$J$21),0))</f>
        <v>0</v>
      </c>
      <c r="N69" s="143">
        <f>IFERROR(IF($C$10="Yes",INDEX('Rates.Table'!$C$114:$C$115,MATCH($C$9,'Rates.Table'!$B$114:$B$115,0)),0),0)</f>
        <v>0</v>
      </c>
      <c r="O69" s="135"/>
      <c r="P69" s="143">
        <f>IF($C$10="Yes",INDEX('Rates.Table'!$D$127:$D$142,MATCH($I$21,'Rates.Table'!$B$127:$B$142,1)),0)</f>
        <v>30553.93</v>
      </c>
      <c r="Q69" s="144"/>
      <c r="R69" s="137"/>
      <c r="T69" s="218"/>
      <c r="U69" s="218"/>
      <c r="V69" s="219"/>
      <c r="W69" s="219"/>
      <c r="X69" s="218"/>
      <c r="Y69" s="218"/>
      <c r="Z69" s="218"/>
      <c r="AA69" s="218"/>
    </row>
    <row r="70" spans="2:27" x14ac:dyDescent="0.35">
      <c r="B70" s="248" t="s">
        <v>99</v>
      </c>
      <c r="C70" s="249"/>
      <c r="D70" s="239">
        <f>(J70*K70)</f>
        <v>189472</v>
      </c>
      <c r="E70" s="234">
        <f t="shared" si="11"/>
        <v>189472</v>
      </c>
      <c r="F70" s="135"/>
      <c r="G70" s="173" t="str">
        <f t="shared" si="10"/>
        <v>Establishment Funding for Remaining Staff</v>
      </c>
      <c r="H70" s="135"/>
      <c r="I70" s="138"/>
      <c r="J70" s="138">
        <f>IF($C$10="Yes",
$J$21,0)</f>
        <v>160</v>
      </c>
      <c r="K70" s="143">
        <f>IF($C$10="Yes",INDEX('Rates.Table'!$B$120:$B$122,MATCH($C$9,'Rates.Table'!$A$120:$A$122,0)),0)</f>
        <v>1184.2</v>
      </c>
      <c r="L70" s="138"/>
      <c r="M70" s="138"/>
      <c r="N70" s="143"/>
      <c r="O70" s="135"/>
      <c r="P70" s="135"/>
      <c r="Q70" s="144"/>
      <c r="R70" s="137"/>
      <c r="T70" s="218"/>
      <c r="U70" s="218"/>
      <c r="V70" s="219"/>
      <c r="W70" s="219"/>
      <c r="X70" s="218"/>
      <c r="Y70" s="218"/>
      <c r="Z70" s="218"/>
      <c r="AA70" s="218"/>
    </row>
    <row r="71" spans="2:27" x14ac:dyDescent="0.35">
      <c r="B71" s="248" t="s">
        <v>100</v>
      </c>
      <c r="C71" s="249"/>
      <c r="D71" s="239">
        <f>(J71*K71)</f>
        <v>335179.19999999995</v>
      </c>
      <c r="E71" s="234">
        <f t="shared" si="11"/>
        <v>335179.19999999995</v>
      </c>
      <c r="F71" s="135"/>
      <c r="G71" s="173" t="str">
        <f t="shared" si="10"/>
        <v>Establishment Grants: Initial furniture and equipment funding</v>
      </c>
      <c r="H71" s="135"/>
      <c r="I71" s="138"/>
      <c r="J71" s="138">
        <f>IF($C$10="Yes",
$J$21,0)</f>
        <v>160</v>
      </c>
      <c r="K71" s="143">
        <f>IF(AND($C$10="Yes",$C$13&lt;&gt;"Ministry Owned"),INDEX('Rates.Table'!$B$147:$B$149,MATCH($C$9,'Rates.Table'!$A$147:$A$149,0)),0)</f>
        <v>2094.87</v>
      </c>
      <c r="L71" s="138"/>
      <c r="M71" s="138"/>
      <c r="N71" s="143"/>
      <c r="O71" s="135"/>
      <c r="P71" s="135"/>
      <c r="Q71" s="144"/>
      <c r="R71" s="137"/>
      <c r="T71" s="218"/>
      <c r="U71" s="218"/>
      <c r="V71" s="219"/>
      <c r="W71" s="219"/>
      <c r="X71" s="218"/>
      <c r="Y71" s="218"/>
      <c r="Z71" s="218"/>
      <c r="AA71" s="218"/>
    </row>
    <row r="72" spans="2:27" x14ac:dyDescent="0.35">
      <c r="B72" s="248" t="s">
        <v>101</v>
      </c>
      <c r="C72" s="249"/>
      <c r="D72" s="239">
        <f>((J72*K72)+(M72*N72))</f>
        <v>149501.4</v>
      </c>
      <c r="E72" s="234">
        <f t="shared" si="11"/>
        <v>149501.4</v>
      </c>
      <c r="F72" s="135"/>
      <c r="G72" s="173" t="str">
        <f t="shared" si="10"/>
        <v>Establishment fit-out</v>
      </c>
      <c r="H72" s="135"/>
      <c r="I72" s="138"/>
      <c r="J72" s="138">
        <f>IF($C$10="Yes",$V$7,0)</f>
        <v>100</v>
      </c>
      <c r="K72" s="143">
        <f>IF(J72=0,0,SUMIFS('Rates.Table'!$C$154:$C$159,'Rates.Table'!$B$154:$B$159,"first_student",'Rates.Table'!$A$154:$A$159,$C$9))</f>
        <v>1042.02</v>
      </c>
      <c r="L72" s="138"/>
      <c r="M72" s="138">
        <f>IF($C$10="Yes",$V$9,0)</f>
        <v>60</v>
      </c>
      <c r="N72" s="143">
        <f>SUMIFS('Rates.Table'!$C$154:$C$159,'Rates.Table'!$B$154:$B$159,"extra_student",'Rates.Table'!$A$154:$A$159,$C$9)</f>
        <v>754.99</v>
      </c>
      <c r="O72" s="135"/>
      <c r="P72" s="135"/>
      <c r="Q72" s="144"/>
      <c r="R72" s="137"/>
      <c r="T72" s="218"/>
      <c r="U72" s="218"/>
      <c r="V72" s="219"/>
      <c r="W72" s="219"/>
      <c r="X72" s="218"/>
      <c r="Y72" s="218"/>
      <c r="Z72" s="218"/>
      <c r="AA72" s="218"/>
    </row>
    <row r="73" spans="2:27" x14ac:dyDescent="0.35">
      <c r="B73" s="248" t="s">
        <v>102</v>
      </c>
      <c r="C73" s="249"/>
      <c r="D73" s="239">
        <f>(J73*K73)</f>
        <v>110400</v>
      </c>
      <c r="E73" s="234">
        <f t="shared" si="11"/>
        <v>110400</v>
      </c>
      <c r="F73" s="135"/>
      <c r="G73" s="173" t="str">
        <f t="shared" si="10"/>
        <v xml:space="preserve">Establishment ICT </v>
      </c>
      <c r="H73" s="135"/>
      <c r="I73" s="138"/>
      <c r="J73" s="138">
        <f>IF($C$10="Yes",
$J$21,0)</f>
        <v>160</v>
      </c>
      <c r="K73" s="143">
        <f>IF(J73=0,0,INDEX('Rates.Table'!$B$164:$B$166,MATCH($C$9,'Rates.Table'!$A$164:$A$166,0)))</f>
        <v>690</v>
      </c>
      <c r="L73" s="138"/>
      <c r="M73" s="138"/>
      <c r="N73" s="143"/>
      <c r="O73" s="135"/>
      <c r="P73" s="135"/>
      <c r="Q73" s="144"/>
      <c r="R73" s="137"/>
      <c r="T73" s="218"/>
      <c r="U73" s="218"/>
      <c r="V73" s="219"/>
      <c r="W73" s="219"/>
      <c r="X73" s="218"/>
      <c r="Y73" s="218"/>
      <c r="Z73" s="218"/>
      <c r="AA73" s="218"/>
    </row>
    <row r="74" spans="2:27" x14ac:dyDescent="0.35">
      <c r="B74" s="248" t="s">
        <v>103</v>
      </c>
      <c r="C74" s="249"/>
      <c r="D74" s="239">
        <f>($J$74*$K$74*($D$7/366))</f>
        <v>0</v>
      </c>
      <c r="E74" s="234">
        <f t="shared" si="11"/>
        <v>0</v>
      </c>
      <c r="F74" s="135"/>
      <c r="G74" s="173" t="str">
        <f t="shared" si="10"/>
        <v>Capital Maintenance -Sponsor Owned</v>
      </c>
      <c r="H74" s="135"/>
      <c r="I74" s="138"/>
      <c r="J74" s="138">
        <f>IF(AND($C$10="Yes",$C$13="Sponsor Owned"),$J$21,0)</f>
        <v>0</v>
      </c>
      <c r="K74" s="143">
        <f>IF(AND($C$10="Yes",$C$13="Sponsor Owned"),'Rates.Table'!$A$171,0)</f>
        <v>0</v>
      </c>
      <c r="L74" s="138"/>
      <c r="M74" s="138"/>
      <c r="N74" s="143"/>
      <c r="O74" s="135"/>
      <c r="P74" s="135"/>
      <c r="Q74" s="144"/>
      <c r="R74" s="137"/>
      <c r="T74" s="218"/>
      <c r="U74" s="218"/>
      <c r="V74" s="219"/>
      <c r="W74" s="219"/>
      <c r="X74" s="218"/>
      <c r="Y74" s="218"/>
      <c r="Z74" s="218"/>
      <c r="AA74" s="218"/>
    </row>
    <row r="75" spans="2:27" x14ac:dyDescent="0.35">
      <c r="B75" s="248" t="s">
        <v>94</v>
      </c>
      <c r="C75" s="249"/>
      <c r="D75" s="246">
        <f>((($J$75*$K$75)+($M$75*$N$75))*($D$7/366))</f>
        <v>113221.86065573771</v>
      </c>
      <c r="E75" s="247">
        <f t="shared" si="11"/>
        <v>113221.86065573771</v>
      </c>
      <c r="F75" s="135"/>
      <c r="G75" s="173" t="str">
        <f t="shared" si="10"/>
        <v>Lease Based Funding</v>
      </c>
      <c r="H75" s="135"/>
      <c r="I75" s="138"/>
      <c r="J75" s="138">
        <f>IF($C$10="Yes",$V$7,0)</f>
        <v>100</v>
      </c>
      <c r="K75" s="143">
        <f>IFERROR(SUMIFS('Rates.Table'!$E$176:$E$187,'Rates.Table'!$B$176:$B$187,"first_student",'Rates.Table'!$A$176:$A$187,$C$9,'Rates.Table'!$D$176:$D$187,C15,'Rates.Table'!$C$176:$C$187,$C$13),0)</f>
        <v>3716.25</v>
      </c>
      <c r="L75" s="138"/>
      <c r="M75" s="138">
        <f>IF($C$10="Yes",$V$9,0)</f>
        <v>60</v>
      </c>
      <c r="N75" s="143">
        <f>IFERROR(SUMIFS('Rates.Table'!$E$176:$E$187,'Rates.Table'!$B$176:$B$187,"extra_student",'Rates.Table'!$A$176:$A$187,$C$9,'Rates.Table'!$D$176:$D$187,$C$15,'Rates.Table'!$C$176:$C$187,$C$13),0)</f>
        <v>1566.4</v>
      </c>
      <c r="O75" s="135"/>
      <c r="P75" s="135"/>
      <c r="Q75" s="144"/>
      <c r="R75" s="137"/>
      <c r="T75" s="218"/>
      <c r="U75" s="218"/>
      <c r="V75" s="219"/>
      <c r="W75" s="219"/>
      <c r="X75" s="218"/>
      <c r="Y75" s="218"/>
      <c r="Z75" s="218"/>
      <c r="AA75" s="218"/>
    </row>
    <row r="76" spans="2:27" x14ac:dyDescent="0.35">
      <c r="B76" s="214" t="s">
        <v>104</v>
      </c>
      <c r="C76" s="235"/>
      <c r="D76" s="236">
        <f>SUBTOTAL(9,D68:D75)</f>
        <v>1311181.1906557376</v>
      </c>
      <c r="E76" s="237">
        <f>SUBTOTAL(9,E68:E75)</f>
        <v>1311181.1906557376</v>
      </c>
      <c r="F76" s="135"/>
      <c r="G76" s="174"/>
      <c r="H76" s="146"/>
      <c r="I76" s="147"/>
      <c r="J76" s="147"/>
      <c r="K76" s="147"/>
      <c r="L76" s="146"/>
      <c r="M76" s="146"/>
      <c r="N76" s="146"/>
      <c r="O76" s="146"/>
      <c r="P76" s="146"/>
      <c r="Q76" s="148"/>
      <c r="R76" s="137"/>
      <c r="T76" s="218"/>
      <c r="U76" s="218"/>
      <c r="V76" s="220"/>
      <c r="W76" s="219"/>
      <c r="X76" s="222"/>
      <c r="Y76" s="218"/>
      <c r="Z76" s="218"/>
      <c r="AA76" s="218"/>
    </row>
    <row r="77" spans="2:27" hidden="1" outlineLevel="1" x14ac:dyDescent="0.35">
      <c r="B77" s="210" t="s">
        <v>105</v>
      </c>
      <c r="C77" s="229"/>
      <c r="D77" s="238"/>
      <c r="E77" s="231"/>
      <c r="F77" s="135"/>
      <c r="G77" s="175"/>
      <c r="H77" s="135"/>
      <c r="I77" s="135"/>
      <c r="J77" s="135"/>
      <c r="K77" s="135"/>
      <c r="L77" s="135"/>
      <c r="M77" s="135"/>
      <c r="N77" s="135"/>
      <c r="O77" s="135"/>
      <c r="P77" s="135"/>
      <c r="Q77" s="144"/>
      <c r="R77" s="137"/>
      <c r="T77" s="218"/>
      <c r="U77" s="218"/>
      <c r="V77" s="220"/>
      <c r="W77" s="218"/>
      <c r="X77" s="218"/>
      <c r="Y77" s="218"/>
      <c r="Z77" s="218"/>
      <c r="AA77" s="218"/>
    </row>
    <row r="78" spans="2:27" hidden="1" outlineLevel="1" x14ac:dyDescent="0.35">
      <c r="B78" s="248" t="s">
        <v>106</v>
      </c>
      <c r="C78" s="232"/>
      <c r="D78" s="239"/>
      <c r="E78" s="234"/>
      <c r="F78" s="135"/>
      <c r="G78" s="175"/>
      <c r="H78" s="135"/>
      <c r="I78" s="135"/>
      <c r="J78" s="135"/>
      <c r="K78" s="143">
        <f>IF(AND($C$10="No",$C$11="No"),'Rates.Table'!$A$192,0)</f>
        <v>0</v>
      </c>
      <c r="L78" s="135"/>
      <c r="M78" s="135"/>
      <c r="N78" s="135"/>
      <c r="O78" s="135"/>
      <c r="P78" s="135"/>
      <c r="Q78" s="144"/>
      <c r="R78" s="137"/>
      <c r="T78" s="218"/>
      <c r="U78" s="218"/>
      <c r="V78" s="220"/>
      <c r="W78" s="218"/>
      <c r="X78" s="218"/>
      <c r="Y78" s="218"/>
      <c r="Z78" s="218"/>
      <c r="AA78" s="218"/>
    </row>
    <row r="79" spans="2:27" hidden="1" outlineLevel="1" x14ac:dyDescent="0.35">
      <c r="B79" s="214" t="s">
        <v>107</v>
      </c>
      <c r="C79" s="235">
        <f>SUBTOTAL(9,C78)</f>
        <v>0</v>
      </c>
      <c r="D79" s="236">
        <f>SUBTOTAL(9,D78)</f>
        <v>0</v>
      </c>
      <c r="E79" s="237">
        <f>SUBTOTAL(9,E78)</f>
        <v>0</v>
      </c>
      <c r="F79" s="135"/>
      <c r="G79" s="174"/>
      <c r="H79" s="146"/>
      <c r="I79" s="147"/>
      <c r="J79" s="147"/>
      <c r="K79" s="147"/>
      <c r="L79" s="146"/>
      <c r="M79" s="146"/>
      <c r="N79" s="146"/>
      <c r="O79" s="146"/>
      <c r="P79" s="146"/>
      <c r="Q79" s="148"/>
      <c r="R79" s="137"/>
      <c r="T79" s="218"/>
      <c r="U79" s="218"/>
      <c r="V79" s="220"/>
      <c r="W79" s="218"/>
      <c r="X79" s="218"/>
      <c r="Y79" s="218"/>
      <c r="Z79" s="218"/>
      <c r="AA79" s="218"/>
    </row>
    <row r="80" spans="2:27" ht="15" collapsed="1" thickBot="1" x14ac:dyDescent="0.4">
      <c r="B80" s="214" t="s">
        <v>43</v>
      </c>
      <c r="C80" s="243">
        <f>SUBTOTAL(9,C28:C79)</f>
        <v>747540.29999999993</v>
      </c>
      <c r="D80" s="244">
        <f>SUBTOTAL(9,D28:D79)</f>
        <v>1583486.3906557376</v>
      </c>
      <c r="E80" s="245">
        <f>SUBTOTAL(9,E28:E79)</f>
        <v>2331026.6906557376</v>
      </c>
      <c r="F80" s="135"/>
      <c r="G80" s="176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7"/>
      <c r="T80" s="218"/>
      <c r="U80" s="218"/>
      <c r="V80" s="218"/>
      <c r="W80" s="218"/>
      <c r="X80" s="218"/>
      <c r="Y80" s="218"/>
      <c r="Z80" s="218"/>
      <c r="AA80" s="218"/>
    </row>
    <row r="81" spans="2:27" ht="16" x14ac:dyDescent="0.35">
      <c r="B81" s="158"/>
      <c r="C81" s="159"/>
      <c r="D81" s="159"/>
      <c r="E81" s="159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7"/>
      <c r="T81" s="218"/>
      <c r="U81" s="218"/>
      <c r="V81" s="218"/>
      <c r="W81" s="218"/>
      <c r="X81" s="218"/>
      <c r="Y81" s="218"/>
      <c r="Z81" s="218"/>
      <c r="AA81" s="218"/>
    </row>
    <row r="82" spans="2:27" ht="15" thickBot="1" x14ac:dyDescent="0.4">
      <c r="B82" s="152"/>
      <c r="C82" s="153"/>
      <c r="D82" s="153"/>
      <c r="E82" s="153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5"/>
      <c r="T82" s="218"/>
      <c r="U82" s="218"/>
      <c r="V82" s="218"/>
      <c r="W82" s="218"/>
      <c r="X82" s="218"/>
      <c r="Y82" s="218"/>
      <c r="Z82" s="218"/>
      <c r="AA82" s="218"/>
    </row>
    <row r="83" spans="2:27" x14ac:dyDescent="0.35">
      <c r="T83" s="218"/>
      <c r="U83" s="218"/>
      <c r="V83" s="218"/>
      <c r="W83" s="218"/>
      <c r="X83" s="218"/>
      <c r="Y83" s="218"/>
      <c r="Z83" s="218"/>
      <c r="AA83" s="218"/>
    </row>
    <row r="84" spans="2:27" x14ac:dyDescent="0.35">
      <c r="T84" s="223"/>
      <c r="U84" s="218"/>
      <c r="V84" s="218"/>
      <c r="W84" s="218"/>
      <c r="X84" s="218"/>
      <c r="Y84" s="218"/>
      <c r="Z84" s="218"/>
      <c r="AA84" s="218"/>
    </row>
    <row r="85" spans="2:27" x14ac:dyDescent="0.35">
      <c r="T85" s="223"/>
      <c r="U85" s="218"/>
      <c r="V85" s="218"/>
      <c r="W85" s="218"/>
      <c r="X85" s="218"/>
      <c r="Y85" s="218"/>
      <c r="Z85" s="218"/>
      <c r="AA85" s="218"/>
    </row>
  </sheetData>
  <mergeCells count="3">
    <mergeCell ref="G6:G7"/>
    <mergeCell ref="C13:C14"/>
    <mergeCell ref="C26:E26"/>
  </mergeCells>
  <conditionalFormatting sqref="G29:Q79">
    <cfRule type="expression" dxfId="1" priority="3">
      <formula>$G$27="N"</formula>
    </cfRule>
  </conditionalFormatting>
  <conditionalFormatting sqref="I28:K28">
    <cfRule type="expression" dxfId="0" priority="2">
      <formula>$G$27="N"</formula>
    </cfRule>
  </conditionalFormatting>
  <dataValidations disablePrompts="1" count="6">
    <dataValidation type="list" allowBlank="1" showInputMessage="1" showErrorMessage="1" sqref="G27" xr:uid="{9A106306-7CDE-4E9E-9D45-9246A950233D}">
      <formula1>"Y,N"</formula1>
    </dataValidation>
    <dataValidation type="list" allowBlank="1" showInputMessage="1" showErrorMessage="1" sqref="C18" xr:uid="{C886D735-9467-4F7A-9AA5-B73DCD2FAEA9}">
      <formula1>"Low Risk,Medium Risk,High Risk,Critical Risk,Extreme Risk,Not Qualify"</formula1>
    </dataValidation>
    <dataValidation type="list" allowBlank="1" showInputMessage="1" showErrorMessage="1" sqref="C15" xr:uid="{A8997434-5463-484A-B521-A03A483BA77A}">
      <formula1>"Major Urban Centre,Other Areas"</formula1>
    </dataValidation>
    <dataValidation type="list" allowBlank="1" showInputMessage="1" showErrorMessage="1" sqref="C13:C14" xr:uid="{FA1B5B46-F09F-4CBB-967A-9E7C629C34BB}">
      <formula1>"Ministry Owned,Sponsor Owned,Leased From Third Party"</formula1>
    </dataValidation>
    <dataValidation type="list" allowBlank="1" showInputMessage="1" showErrorMessage="1" sqref="C10:C11 C19:C20" xr:uid="{DA74B324-E849-41ED-B188-7F6BA0BEFBFA}">
      <formula1>"Yes,No"</formula1>
    </dataValidation>
    <dataValidation type="list" allowBlank="1" showInputMessage="1" showErrorMessage="1" sqref="C9" xr:uid="{5DC58998-73BC-4292-846D-0171F6D26FA6}">
      <formula1>"Primary,Secondary,Composite"</formula1>
    </dataValidation>
  </dataValidations>
  <pageMargins left="0.7" right="0.7" top="0.75" bottom="0.75" header="0.3" footer="0.3"/>
  <pageSetup orientation="portrait" r:id="rId1"/>
  <ignoredErrors>
    <ignoredError sqref="C39:C44 I63:J63 C63:D63 J72" formula="1"/>
    <ignoredError sqref="C12" unlockedFormula="1"/>
    <ignoredError sqref="O7:P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15AA-C69E-4B19-A54E-34E64A660626}">
  <sheetPr>
    <tabColor theme="5" tint="-0.249977111117893"/>
  </sheetPr>
  <dimension ref="A2:L982"/>
  <sheetViews>
    <sheetView showGridLines="0" tabSelected="1" topLeftCell="A151" workbookViewId="0">
      <selection activeCell="B173" sqref="B173"/>
    </sheetView>
  </sheetViews>
  <sheetFormatPr defaultColWidth="9.1796875" defaultRowHeight="13" x14ac:dyDescent="0.3"/>
  <cols>
    <col min="1" max="1" width="33.54296875" style="6" customWidth="1"/>
    <col min="2" max="2" width="26.1796875" style="6" customWidth="1"/>
    <col min="3" max="4" width="24.26953125" style="6" customWidth="1"/>
    <col min="5" max="5" width="15" style="6" customWidth="1"/>
    <col min="6" max="6" width="19.7265625" style="6" customWidth="1"/>
    <col min="7" max="12" width="12.7265625" style="6" customWidth="1"/>
    <col min="13" max="16384" width="9.1796875" style="6"/>
  </cols>
  <sheetData>
    <row r="2" spans="1:6" x14ac:dyDescent="0.3">
      <c r="A2" s="5" t="s">
        <v>108</v>
      </c>
      <c r="F2" s="6" t="s">
        <v>109</v>
      </c>
    </row>
    <row r="3" spans="1:6" ht="22.5" customHeight="1" x14ac:dyDescent="0.3">
      <c r="A3" s="7" t="s">
        <v>110</v>
      </c>
      <c r="B3" s="8" t="s">
        <v>111</v>
      </c>
      <c r="C3" s="8" t="s">
        <v>112</v>
      </c>
      <c r="D3" s="8" t="s">
        <v>15</v>
      </c>
      <c r="E3" s="9" t="s">
        <v>113</v>
      </c>
      <c r="F3" s="10" t="s">
        <v>114</v>
      </c>
    </row>
    <row r="4" spans="1:6" x14ac:dyDescent="0.3">
      <c r="A4" s="11" t="s">
        <v>66</v>
      </c>
      <c r="B4" s="12" t="s">
        <v>68</v>
      </c>
      <c r="C4" s="12" t="s">
        <v>61</v>
      </c>
      <c r="D4" s="12" t="s">
        <v>115</v>
      </c>
      <c r="E4" s="13">
        <v>391.58</v>
      </c>
      <c r="F4" s="14"/>
    </row>
    <row r="5" spans="1:6" x14ac:dyDescent="0.3">
      <c r="A5" s="11" t="s">
        <v>66</v>
      </c>
      <c r="B5" s="12" t="s">
        <v>68</v>
      </c>
      <c r="C5" s="12" t="s">
        <v>62</v>
      </c>
      <c r="D5" s="12" t="s">
        <v>115</v>
      </c>
      <c r="E5" s="13">
        <v>190.93</v>
      </c>
      <c r="F5" s="15">
        <f>(100*E4)-(100*E5)</f>
        <v>20065</v>
      </c>
    </row>
    <row r="6" spans="1:6" x14ac:dyDescent="0.3">
      <c r="A6" s="11" t="s">
        <v>66</v>
      </c>
      <c r="B6" s="12" t="s">
        <v>68</v>
      </c>
      <c r="C6" s="12" t="s">
        <v>61</v>
      </c>
      <c r="D6" s="12" t="s">
        <v>116</v>
      </c>
      <c r="E6" s="13">
        <v>399.3</v>
      </c>
      <c r="F6" s="12"/>
    </row>
    <row r="7" spans="1:6" x14ac:dyDescent="0.3">
      <c r="A7" s="11" t="s">
        <v>66</v>
      </c>
      <c r="B7" s="12" t="s">
        <v>68</v>
      </c>
      <c r="C7" s="12" t="s">
        <v>62</v>
      </c>
      <c r="D7" s="12" t="s">
        <v>116</v>
      </c>
      <c r="E7" s="13">
        <v>210.43</v>
      </c>
      <c r="F7" s="15">
        <f>(200*E6)-(200*E7)</f>
        <v>37774</v>
      </c>
    </row>
    <row r="8" spans="1:6" x14ac:dyDescent="0.3">
      <c r="A8" s="11" t="s">
        <v>66</v>
      </c>
      <c r="B8" s="12" t="s">
        <v>68</v>
      </c>
      <c r="C8" s="12" t="s">
        <v>61</v>
      </c>
      <c r="D8" s="12" t="s">
        <v>16</v>
      </c>
      <c r="E8" s="13">
        <v>320.05</v>
      </c>
      <c r="F8" s="12"/>
    </row>
    <row r="9" spans="1:6" x14ac:dyDescent="0.3">
      <c r="A9" s="16" t="s">
        <v>66</v>
      </c>
      <c r="B9" s="17" t="s">
        <v>68</v>
      </c>
      <c r="C9" s="17" t="s">
        <v>62</v>
      </c>
      <c r="D9" s="17" t="s">
        <v>16</v>
      </c>
      <c r="E9" s="18">
        <v>202.29</v>
      </c>
      <c r="F9" s="15">
        <f>(200*E8)-(200*E9)</f>
        <v>23552</v>
      </c>
    </row>
    <row r="10" spans="1:6" x14ac:dyDescent="0.3">
      <c r="A10" s="16" t="s">
        <v>66</v>
      </c>
      <c r="B10" s="12" t="s">
        <v>69</v>
      </c>
      <c r="C10" s="12" t="s">
        <v>61</v>
      </c>
      <c r="D10" s="12" t="s">
        <v>16</v>
      </c>
      <c r="E10" s="13">
        <v>150.80000000000001</v>
      </c>
      <c r="F10" s="15">
        <f>(100*E10)-(100*E13)</f>
        <v>7824.0000000000018</v>
      </c>
    </row>
    <row r="11" spans="1:6" x14ac:dyDescent="0.3">
      <c r="A11" s="16" t="s">
        <v>66</v>
      </c>
      <c r="B11" s="12" t="s">
        <v>69</v>
      </c>
      <c r="C11" s="12" t="s">
        <v>61</v>
      </c>
      <c r="D11" s="12" t="s">
        <v>115</v>
      </c>
      <c r="E11" s="13">
        <v>341.41</v>
      </c>
      <c r="F11" s="15">
        <f>(100*E11)-(100*E14)</f>
        <v>24658</v>
      </c>
    </row>
    <row r="12" spans="1:6" x14ac:dyDescent="0.3">
      <c r="A12" s="16" t="s">
        <v>66</v>
      </c>
      <c r="B12" s="12" t="s">
        <v>69</v>
      </c>
      <c r="C12" s="12" t="s">
        <v>61</v>
      </c>
      <c r="D12" s="12" t="s">
        <v>116</v>
      </c>
      <c r="E12" s="13">
        <v>195.57</v>
      </c>
      <c r="F12" s="15">
        <f>(100*E12)-(100*E15)</f>
        <v>8193</v>
      </c>
    </row>
    <row r="13" spans="1:6" x14ac:dyDescent="0.3">
      <c r="A13" s="16" t="s">
        <v>66</v>
      </c>
      <c r="B13" s="12" t="s">
        <v>69</v>
      </c>
      <c r="C13" s="12" t="s">
        <v>62</v>
      </c>
      <c r="D13" s="12" t="s">
        <v>16</v>
      </c>
      <c r="E13" s="13">
        <v>72.56</v>
      </c>
      <c r="F13" s="12"/>
    </row>
    <row r="14" spans="1:6" x14ac:dyDescent="0.3">
      <c r="A14" s="16" t="s">
        <v>66</v>
      </c>
      <c r="B14" s="12" t="s">
        <v>69</v>
      </c>
      <c r="C14" s="12" t="s">
        <v>62</v>
      </c>
      <c r="D14" s="12" t="s">
        <v>115</v>
      </c>
      <c r="E14" s="13">
        <v>94.83</v>
      </c>
      <c r="F14" s="12"/>
    </row>
    <row r="15" spans="1:6" x14ac:dyDescent="0.3">
      <c r="A15" s="16" t="s">
        <v>66</v>
      </c>
      <c r="B15" s="12" t="s">
        <v>69</v>
      </c>
      <c r="C15" s="12" t="s">
        <v>62</v>
      </c>
      <c r="D15" s="12" t="s">
        <v>116</v>
      </c>
      <c r="E15" s="13">
        <v>113.64</v>
      </c>
      <c r="F15" s="12"/>
    </row>
    <row r="16" spans="1:6" x14ac:dyDescent="0.3">
      <c r="A16" s="16" t="s">
        <v>59</v>
      </c>
      <c r="B16" s="17"/>
      <c r="C16" s="17" t="s">
        <v>61</v>
      </c>
      <c r="D16" s="12" t="s">
        <v>16</v>
      </c>
      <c r="E16" s="18">
        <v>7117.98</v>
      </c>
      <c r="F16" s="12"/>
    </row>
    <row r="17" spans="1:6" x14ac:dyDescent="0.3">
      <c r="A17" s="16" t="s">
        <v>59</v>
      </c>
      <c r="B17" s="12"/>
      <c r="C17" s="12" t="s">
        <v>62</v>
      </c>
      <c r="D17" s="12" t="s">
        <v>16</v>
      </c>
      <c r="E17" s="18">
        <v>5359.59</v>
      </c>
      <c r="F17" s="15">
        <f>(100*E16)-(100*E17)</f>
        <v>175839</v>
      </c>
    </row>
    <row r="18" spans="1:6" x14ac:dyDescent="0.3">
      <c r="A18" s="16" t="s">
        <v>59</v>
      </c>
      <c r="B18" s="12"/>
      <c r="C18" s="12" t="s">
        <v>117</v>
      </c>
      <c r="D18" s="12" t="s">
        <v>16</v>
      </c>
      <c r="E18" s="18">
        <v>1498.15</v>
      </c>
      <c r="F18" s="12"/>
    </row>
    <row r="19" spans="1:6" x14ac:dyDescent="0.3">
      <c r="A19" s="16" t="s">
        <v>59</v>
      </c>
      <c r="B19" s="12"/>
      <c r="C19" s="12" t="s">
        <v>118</v>
      </c>
      <c r="D19" s="12" t="s">
        <v>16</v>
      </c>
      <c r="E19" s="13">
        <v>221.38</v>
      </c>
      <c r="F19" s="12"/>
    </row>
    <row r="20" spans="1:6" x14ac:dyDescent="0.3">
      <c r="A20" s="11" t="s">
        <v>59</v>
      </c>
      <c r="B20" s="12"/>
      <c r="C20" s="17" t="s">
        <v>61</v>
      </c>
      <c r="D20" s="12" t="s">
        <v>115</v>
      </c>
      <c r="E20" s="18">
        <v>12503.92</v>
      </c>
      <c r="F20" s="12"/>
    </row>
    <row r="21" spans="1:6" x14ac:dyDescent="0.3">
      <c r="A21" s="11" t="s">
        <v>59</v>
      </c>
      <c r="B21" s="12"/>
      <c r="C21" s="12" t="s">
        <v>62</v>
      </c>
      <c r="D21" s="12" t="s">
        <v>115</v>
      </c>
      <c r="E21" s="18">
        <v>6313.82</v>
      </c>
      <c r="F21" s="15">
        <f>(200*E20)-(200*E21)</f>
        <v>1238020</v>
      </c>
    </row>
    <row r="22" spans="1:6" x14ac:dyDescent="0.3">
      <c r="A22" s="16" t="s">
        <v>59</v>
      </c>
      <c r="B22" s="17"/>
      <c r="C22" s="12" t="s">
        <v>117</v>
      </c>
      <c r="D22" s="12" t="s">
        <v>115</v>
      </c>
      <c r="E22" s="18">
        <v>994.23</v>
      </c>
      <c r="F22" s="12"/>
    </row>
    <row r="23" spans="1:6" x14ac:dyDescent="0.3">
      <c r="A23" s="16" t="s">
        <v>59</v>
      </c>
      <c r="B23" s="12"/>
      <c r="C23" s="12" t="s">
        <v>118</v>
      </c>
      <c r="D23" s="12" t="s">
        <v>115</v>
      </c>
      <c r="E23" s="13">
        <v>119.67</v>
      </c>
      <c r="F23" s="12"/>
    </row>
    <row r="24" spans="1:6" x14ac:dyDescent="0.3">
      <c r="A24" s="11" t="s">
        <v>59</v>
      </c>
      <c r="B24" s="12"/>
      <c r="C24" s="17" t="s">
        <v>61</v>
      </c>
      <c r="D24" s="12" t="s">
        <v>116</v>
      </c>
      <c r="E24" s="18">
        <v>10091.64</v>
      </c>
      <c r="F24" s="12"/>
    </row>
    <row r="25" spans="1:6" x14ac:dyDescent="0.3">
      <c r="A25" s="11" t="s">
        <v>59</v>
      </c>
      <c r="B25" s="12"/>
      <c r="C25" s="12" t="s">
        <v>62</v>
      </c>
      <c r="D25" s="12" t="s">
        <v>116</v>
      </c>
      <c r="E25" s="18">
        <v>6031.64</v>
      </c>
      <c r="F25" s="15">
        <f>(200*E24)-(200*E25)</f>
        <v>812000</v>
      </c>
    </row>
    <row r="26" spans="1:6" x14ac:dyDescent="0.3">
      <c r="A26" s="16" t="s">
        <v>59</v>
      </c>
      <c r="B26" s="17"/>
      <c r="C26" s="12" t="s">
        <v>117</v>
      </c>
      <c r="D26" s="12" t="s">
        <v>116</v>
      </c>
      <c r="E26" s="18">
        <v>659.12</v>
      </c>
      <c r="F26" s="12"/>
    </row>
    <row r="27" spans="1:6" x14ac:dyDescent="0.3">
      <c r="A27" s="19" t="s">
        <v>59</v>
      </c>
      <c r="B27" s="20"/>
      <c r="C27" s="20" t="s">
        <v>118</v>
      </c>
      <c r="D27" s="20" t="s">
        <v>116</v>
      </c>
      <c r="E27" s="21">
        <v>168.38</v>
      </c>
      <c r="F27" s="20"/>
    </row>
    <row r="30" spans="1:6" x14ac:dyDescent="0.3">
      <c r="A30" s="5" t="s">
        <v>119</v>
      </c>
    </row>
    <row r="31" spans="1:6" x14ac:dyDescent="0.3">
      <c r="A31" s="7" t="s">
        <v>111</v>
      </c>
      <c r="B31" s="8" t="s">
        <v>113</v>
      </c>
    </row>
    <row r="32" spans="1:6" x14ac:dyDescent="0.3">
      <c r="A32" s="11" t="s">
        <v>120</v>
      </c>
      <c r="B32" s="22">
        <v>14.65</v>
      </c>
    </row>
    <row r="33" spans="1:3" x14ac:dyDescent="0.3">
      <c r="A33" s="11" t="s">
        <v>121</v>
      </c>
      <c r="B33" s="22">
        <v>124.38</v>
      </c>
      <c r="C33" s="23" t="s">
        <v>122</v>
      </c>
    </row>
    <row r="34" spans="1:3" x14ac:dyDescent="0.3">
      <c r="A34" s="11" t="s">
        <v>123</v>
      </c>
      <c r="B34" s="22">
        <v>59.19</v>
      </c>
    </row>
    <row r="36" spans="1:3" ht="14.5" x14ac:dyDescent="0.35">
      <c r="A36" s="5" t="s">
        <v>124</v>
      </c>
      <c r="C36"/>
    </row>
    <row r="37" spans="1:3" x14ac:dyDescent="0.3">
      <c r="A37" s="25" t="s">
        <v>125</v>
      </c>
      <c r="B37" s="88" t="s">
        <v>126</v>
      </c>
      <c r="C37" s="89" t="s">
        <v>113</v>
      </c>
    </row>
    <row r="38" spans="1:3" x14ac:dyDescent="0.3">
      <c r="A38" s="28" t="s">
        <v>73</v>
      </c>
      <c r="B38" s="29" t="s">
        <v>127</v>
      </c>
      <c r="C38" s="31">
        <v>39.549999999999997</v>
      </c>
    </row>
    <row r="39" spans="1:3" x14ac:dyDescent="0.3">
      <c r="A39" s="28" t="s">
        <v>127</v>
      </c>
      <c r="B39" s="29" t="s">
        <v>128</v>
      </c>
      <c r="C39" s="31">
        <v>913.73</v>
      </c>
    </row>
    <row r="40" spans="1:3" x14ac:dyDescent="0.3">
      <c r="A40" s="28" t="s">
        <v>127</v>
      </c>
      <c r="B40" s="29" t="s">
        <v>129</v>
      </c>
      <c r="C40" s="31">
        <v>1020.74</v>
      </c>
    </row>
    <row r="41" spans="1:3" x14ac:dyDescent="0.3">
      <c r="A41" s="28" t="s">
        <v>127</v>
      </c>
      <c r="B41" s="29" t="s">
        <v>130</v>
      </c>
      <c r="C41" s="24">
        <v>1165.06</v>
      </c>
    </row>
    <row r="42" spans="1:3" x14ac:dyDescent="0.3">
      <c r="A42" s="28" t="s">
        <v>127</v>
      </c>
      <c r="B42" s="29" t="s">
        <v>131</v>
      </c>
      <c r="C42" s="24">
        <v>1288.92</v>
      </c>
    </row>
    <row r="43" spans="1:3" x14ac:dyDescent="0.3">
      <c r="A43" s="28" t="s">
        <v>76</v>
      </c>
      <c r="B43" s="29" t="s">
        <v>132</v>
      </c>
      <c r="C43" s="24">
        <v>15.55</v>
      </c>
    </row>
    <row r="44" spans="1:3" x14ac:dyDescent="0.3">
      <c r="A44" s="28" t="s">
        <v>133</v>
      </c>
      <c r="B44" s="29" t="s">
        <v>134</v>
      </c>
      <c r="C44" s="24">
        <v>28.12</v>
      </c>
    </row>
    <row r="45" spans="1:3" x14ac:dyDescent="0.3">
      <c r="A45" s="28" t="s">
        <v>77</v>
      </c>
      <c r="B45" s="29" t="s">
        <v>30</v>
      </c>
      <c r="C45" s="24">
        <v>2175.42</v>
      </c>
    </row>
    <row r="46" spans="1:3" x14ac:dyDescent="0.3">
      <c r="A46" s="28" t="s">
        <v>77</v>
      </c>
      <c r="B46" s="29" t="s">
        <v>34</v>
      </c>
      <c r="C46" s="24">
        <v>554.17999999999995</v>
      </c>
    </row>
    <row r="47" spans="1:3" x14ac:dyDescent="0.3">
      <c r="A47" s="28" t="s">
        <v>77</v>
      </c>
      <c r="B47" s="29" t="s">
        <v>36</v>
      </c>
      <c r="C47" s="24">
        <v>298.69</v>
      </c>
    </row>
    <row r="48" spans="1:3" x14ac:dyDescent="0.3">
      <c r="A48" s="28" t="s">
        <v>77</v>
      </c>
      <c r="B48" s="29" t="s">
        <v>40</v>
      </c>
      <c r="C48" s="24">
        <v>72.510000000000005</v>
      </c>
    </row>
    <row r="49" spans="1:11" x14ac:dyDescent="0.3">
      <c r="A49" s="28" t="s">
        <v>78</v>
      </c>
      <c r="B49" s="29" t="s">
        <v>127</v>
      </c>
      <c r="C49" s="24">
        <v>163.5</v>
      </c>
    </row>
    <row r="50" spans="1:11" x14ac:dyDescent="0.3">
      <c r="A50" s="28" t="s">
        <v>79</v>
      </c>
      <c r="B50" s="29" t="s">
        <v>30</v>
      </c>
      <c r="C50" s="24">
        <v>1135.53</v>
      </c>
    </row>
    <row r="51" spans="1:11" x14ac:dyDescent="0.3">
      <c r="A51" s="28" t="s">
        <v>79</v>
      </c>
      <c r="B51" s="29" t="s">
        <v>34</v>
      </c>
      <c r="C51" s="24">
        <v>554.17999999999995</v>
      </c>
    </row>
    <row r="52" spans="1:11" x14ac:dyDescent="0.3">
      <c r="A52" s="28" t="s">
        <v>80</v>
      </c>
      <c r="B52" s="29" t="s">
        <v>135</v>
      </c>
      <c r="C52" s="24">
        <v>909.25</v>
      </c>
      <c r="D52" s="6" t="str">
        <f t="shared" ref="D52:D53" si="0">A52&amp;B52</f>
        <v>STAR FundingFirst 30 Units</v>
      </c>
    </row>
    <row r="53" spans="1:11" x14ac:dyDescent="0.3">
      <c r="A53" s="28" t="s">
        <v>80</v>
      </c>
      <c r="B53" s="29" t="s">
        <v>136</v>
      </c>
      <c r="C53" s="24">
        <v>159.78</v>
      </c>
      <c r="D53" s="6" t="str">
        <f t="shared" si="0"/>
        <v>STAR FundingRemaining Units</v>
      </c>
    </row>
    <row r="54" spans="1:11" x14ac:dyDescent="0.3">
      <c r="A54" s="28" t="s">
        <v>74</v>
      </c>
      <c r="B54" s="29" t="s">
        <v>137</v>
      </c>
      <c r="C54" s="24">
        <v>1615.7</v>
      </c>
    </row>
    <row r="55" spans="1:11" x14ac:dyDescent="0.3">
      <c r="A55" s="28" t="s">
        <v>81</v>
      </c>
      <c r="B55" s="29" t="s">
        <v>127</v>
      </c>
      <c r="C55" s="24">
        <v>-13.04</v>
      </c>
    </row>
    <row r="56" spans="1:11" x14ac:dyDescent="0.3">
      <c r="A56" s="28" t="s">
        <v>82</v>
      </c>
      <c r="B56" s="29" t="s">
        <v>47</v>
      </c>
      <c r="C56" s="24">
        <v>3.84</v>
      </c>
    </row>
    <row r="57" spans="1:11" x14ac:dyDescent="0.3">
      <c r="A57" s="28" t="s">
        <v>82</v>
      </c>
      <c r="B57" s="29" t="s">
        <v>138</v>
      </c>
      <c r="C57" s="24">
        <v>11.52</v>
      </c>
    </row>
    <row r="58" spans="1:11" x14ac:dyDescent="0.3">
      <c r="A58" s="28" t="s">
        <v>82</v>
      </c>
      <c r="B58" s="29" t="s">
        <v>139</v>
      </c>
      <c r="C58" s="24">
        <v>19.23</v>
      </c>
    </row>
    <row r="59" spans="1:11" x14ac:dyDescent="0.3">
      <c r="A59" s="28" t="s">
        <v>82</v>
      </c>
      <c r="B59" s="29" t="s">
        <v>140</v>
      </c>
      <c r="C59" s="24">
        <v>26.89</v>
      </c>
      <c r="F59" s="87"/>
      <c r="G59" s="87"/>
      <c r="H59" s="87"/>
      <c r="I59" s="87"/>
      <c r="J59" s="87"/>
      <c r="K59" s="87"/>
    </row>
    <row r="60" spans="1:11" x14ac:dyDescent="0.3">
      <c r="A60" s="28" t="s">
        <v>82</v>
      </c>
      <c r="B60" s="29" t="s">
        <v>141</v>
      </c>
      <c r="C60" s="24">
        <v>30.72</v>
      </c>
      <c r="F60" s="87"/>
      <c r="G60" s="87"/>
      <c r="H60" s="87"/>
      <c r="I60" s="87"/>
      <c r="J60" s="87"/>
      <c r="K60" s="87"/>
    </row>
    <row r="61" spans="1:11" x14ac:dyDescent="0.3">
      <c r="A61" s="32" t="s">
        <v>82</v>
      </c>
      <c r="B61" s="33" t="s">
        <v>142</v>
      </c>
      <c r="C61" s="98">
        <v>0</v>
      </c>
      <c r="F61" s="87"/>
      <c r="G61" s="87"/>
      <c r="H61" s="87"/>
      <c r="I61" s="87"/>
      <c r="J61" s="87"/>
      <c r="K61" s="87"/>
    </row>
    <row r="62" spans="1:11" x14ac:dyDescent="0.3">
      <c r="F62" s="87"/>
      <c r="G62" s="87"/>
      <c r="H62" s="87"/>
      <c r="I62" s="87"/>
      <c r="J62" s="87"/>
      <c r="K62" s="87"/>
    </row>
    <row r="63" spans="1:11" x14ac:dyDescent="0.3">
      <c r="F63" s="87"/>
      <c r="G63" s="87"/>
      <c r="H63" s="87"/>
      <c r="I63" s="87"/>
      <c r="J63" s="87"/>
      <c r="K63" s="87"/>
    </row>
    <row r="64" spans="1:11" x14ac:dyDescent="0.3">
      <c r="A64" s="5" t="s">
        <v>143</v>
      </c>
      <c r="F64" s="87"/>
      <c r="G64" s="87"/>
      <c r="H64" s="87"/>
      <c r="I64" s="87"/>
      <c r="J64" s="87"/>
      <c r="K64" s="87"/>
    </row>
    <row r="65" spans="1:11" x14ac:dyDescent="0.3">
      <c r="A65" s="25" t="s">
        <v>15</v>
      </c>
      <c r="B65" s="26" t="s">
        <v>144</v>
      </c>
      <c r="C65" s="26" t="s">
        <v>145</v>
      </c>
      <c r="D65" s="26" t="s">
        <v>146</v>
      </c>
      <c r="E65" s="27" t="s">
        <v>114</v>
      </c>
      <c r="F65" s="87"/>
      <c r="G65" s="87"/>
      <c r="H65" s="87"/>
      <c r="I65" s="87"/>
      <c r="J65" s="87"/>
      <c r="K65" s="87"/>
    </row>
    <row r="66" spans="1:11" x14ac:dyDescent="0.3">
      <c r="A66" s="28" t="s">
        <v>16</v>
      </c>
      <c r="B66" s="29">
        <v>0</v>
      </c>
      <c r="C66" s="30">
        <v>0</v>
      </c>
      <c r="D66" s="30">
        <v>180.57</v>
      </c>
      <c r="E66" s="31"/>
      <c r="F66" s="87"/>
      <c r="G66" s="87"/>
      <c r="H66" s="99"/>
      <c r="I66" s="87"/>
      <c r="J66" s="87"/>
      <c r="K66" s="87"/>
    </row>
    <row r="67" spans="1:11" x14ac:dyDescent="0.3">
      <c r="A67" s="28" t="s">
        <v>16</v>
      </c>
      <c r="B67" s="29">
        <v>150</v>
      </c>
      <c r="C67" s="30">
        <v>27086.21</v>
      </c>
      <c r="D67" s="30">
        <v>-161.68</v>
      </c>
      <c r="E67" s="31">
        <f>C67</f>
        <v>27086.21</v>
      </c>
      <c r="F67" s="87"/>
      <c r="G67" s="87"/>
      <c r="H67" s="99"/>
      <c r="I67" s="87"/>
      <c r="J67" s="87"/>
      <c r="K67" s="87"/>
    </row>
    <row r="68" spans="1:11" x14ac:dyDescent="0.3">
      <c r="A68" s="28" t="s">
        <v>16</v>
      </c>
      <c r="B68" s="29">
        <v>250</v>
      </c>
      <c r="C68" s="30">
        <v>10918.54</v>
      </c>
      <c r="D68" s="30">
        <v>0</v>
      </c>
      <c r="E68" s="31"/>
      <c r="F68" s="87"/>
      <c r="G68" s="87"/>
      <c r="H68" s="100"/>
      <c r="I68" s="87"/>
      <c r="J68" s="87"/>
      <c r="K68" s="87"/>
    </row>
    <row r="69" spans="1:11" x14ac:dyDescent="0.3">
      <c r="A69" s="28" t="s">
        <v>16</v>
      </c>
      <c r="B69" s="29">
        <v>350</v>
      </c>
      <c r="C69" s="30">
        <v>10918.54</v>
      </c>
      <c r="D69" s="30">
        <v>-154.09</v>
      </c>
      <c r="E69" s="31"/>
      <c r="F69" s="87"/>
      <c r="G69" s="87"/>
      <c r="H69" s="87"/>
      <c r="I69" s="99"/>
      <c r="J69" s="87"/>
      <c r="K69" s="87"/>
    </row>
    <row r="70" spans="1:11" x14ac:dyDescent="0.3">
      <c r="A70" s="28" t="s">
        <v>16</v>
      </c>
      <c r="B70" s="29">
        <v>403</v>
      </c>
      <c r="C70" s="30">
        <v>2751.7</v>
      </c>
      <c r="D70" s="30">
        <v>0</v>
      </c>
      <c r="E70" s="31"/>
      <c r="F70" s="87"/>
      <c r="G70" s="87"/>
      <c r="H70" s="87"/>
      <c r="I70" s="87"/>
      <c r="J70" s="87"/>
      <c r="K70" s="87"/>
    </row>
    <row r="71" spans="1:11" x14ac:dyDescent="0.3">
      <c r="A71" s="28" t="s">
        <v>16</v>
      </c>
      <c r="B71" s="29">
        <v>800</v>
      </c>
      <c r="C71" s="30">
        <v>2751.7</v>
      </c>
      <c r="D71" s="30">
        <v>0</v>
      </c>
      <c r="E71" s="31"/>
      <c r="F71" s="87"/>
      <c r="G71" s="87"/>
      <c r="H71" s="87"/>
      <c r="I71" s="99"/>
      <c r="J71" s="87"/>
      <c r="K71" s="87"/>
    </row>
    <row r="72" spans="1:11" x14ac:dyDescent="0.3">
      <c r="A72" s="28" t="s">
        <v>115</v>
      </c>
      <c r="B72" s="29">
        <v>0</v>
      </c>
      <c r="C72" s="30">
        <v>0</v>
      </c>
      <c r="D72" s="30">
        <v>454.83</v>
      </c>
      <c r="E72" s="31"/>
      <c r="F72" s="87"/>
      <c r="G72" s="87"/>
      <c r="H72" s="87"/>
      <c r="I72" s="87"/>
      <c r="J72" s="87"/>
      <c r="K72" s="87"/>
    </row>
    <row r="73" spans="1:11" x14ac:dyDescent="0.3">
      <c r="A73" s="28" t="s">
        <v>115</v>
      </c>
      <c r="B73" s="29">
        <v>375</v>
      </c>
      <c r="C73" s="30">
        <v>170562.37</v>
      </c>
      <c r="D73" s="30">
        <v>-381.28</v>
      </c>
      <c r="E73" s="31">
        <f>C73</f>
        <v>170562.37</v>
      </c>
      <c r="F73" s="87"/>
      <c r="G73" s="87"/>
      <c r="H73" s="87"/>
      <c r="I73" s="87"/>
      <c r="J73" s="87"/>
      <c r="K73" s="87"/>
    </row>
    <row r="74" spans="1:11" x14ac:dyDescent="0.3">
      <c r="A74" s="28" t="s">
        <v>115</v>
      </c>
      <c r="B74" s="29">
        <v>480</v>
      </c>
      <c r="C74" s="30">
        <v>130527.93</v>
      </c>
      <c r="D74" s="30">
        <v>-51.33</v>
      </c>
      <c r="E74" s="31"/>
      <c r="F74" s="87"/>
      <c r="G74" s="87"/>
      <c r="H74" s="87"/>
      <c r="I74" s="87"/>
      <c r="J74" s="87"/>
      <c r="K74" s="87"/>
    </row>
    <row r="75" spans="1:11" x14ac:dyDescent="0.3">
      <c r="A75" s="28" t="s">
        <v>115</v>
      </c>
      <c r="B75" s="29">
        <v>600</v>
      </c>
      <c r="C75" s="30">
        <v>124368.55</v>
      </c>
      <c r="D75" s="30">
        <v>-205.32</v>
      </c>
      <c r="E75" s="31"/>
    </row>
    <row r="76" spans="1:11" x14ac:dyDescent="0.3">
      <c r="A76" s="28" t="s">
        <v>115</v>
      </c>
      <c r="B76" s="29">
        <v>900</v>
      </c>
      <c r="C76" s="30">
        <v>62774.77</v>
      </c>
      <c r="D76" s="30">
        <v>0</v>
      </c>
      <c r="E76" s="31"/>
    </row>
    <row r="77" spans="1:11" x14ac:dyDescent="0.3">
      <c r="A77" s="28" t="s">
        <v>116</v>
      </c>
      <c r="B77" s="29">
        <v>0</v>
      </c>
      <c r="C77" s="30">
        <v>0</v>
      </c>
      <c r="D77" s="30">
        <v>619.24</v>
      </c>
      <c r="E77" s="31"/>
    </row>
    <row r="78" spans="1:11" x14ac:dyDescent="0.3">
      <c r="A78" s="28" t="s">
        <v>116</v>
      </c>
      <c r="B78" s="29">
        <v>250</v>
      </c>
      <c r="C78" s="30">
        <v>154809.69</v>
      </c>
      <c r="D78" s="30">
        <v>-105.58</v>
      </c>
      <c r="E78" s="31">
        <f>C78</f>
        <v>154809.69</v>
      </c>
    </row>
    <row r="79" spans="1:11" x14ac:dyDescent="0.3">
      <c r="A79" s="28" t="s">
        <v>116</v>
      </c>
      <c r="B79" s="29">
        <v>480</v>
      </c>
      <c r="C79" s="30">
        <v>130527.93</v>
      </c>
      <c r="D79" s="30">
        <v>-51.33</v>
      </c>
      <c r="E79" s="31"/>
    </row>
    <row r="80" spans="1:11" x14ac:dyDescent="0.3">
      <c r="A80" s="28" t="s">
        <v>116</v>
      </c>
      <c r="B80" s="29">
        <v>600</v>
      </c>
      <c r="C80" s="30">
        <v>124368.55</v>
      </c>
      <c r="D80" s="30">
        <v>-205.31</v>
      </c>
      <c r="E80" s="31"/>
    </row>
    <row r="81" spans="1:5" x14ac:dyDescent="0.3">
      <c r="A81" s="32" t="s">
        <v>116</v>
      </c>
      <c r="B81" s="33">
        <v>900</v>
      </c>
      <c r="C81" s="34">
        <v>62774.77</v>
      </c>
      <c r="D81" s="34">
        <v>0</v>
      </c>
      <c r="E81" s="22"/>
    </row>
    <row r="84" spans="1:5" x14ac:dyDescent="0.3">
      <c r="A84" s="5" t="s">
        <v>147</v>
      </c>
    </row>
    <row r="85" spans="1:5" x14ac:dyDescent="0.3">
      <c r="A85" s="25" t="s">
        <v>112</v>
      </c>
      <c r="B85" s="26" t="s">
        <v>15</v>
      </c>
      <c r="C85" s="26" t="s">
        <v>113</v>
      </c>
      <c r="D85" s="26" t="s">
        <v>148</v>
      </c>
      <c r="E85" s="27" t="s">
        <v>114</v>
      </c>
    </row>
    <row r="86" spans="1:5" x14ac:dyDescent="0.3">
      <c r="A86" s="12" t="s">
        <v>61</v>
      </c>
      <c r="B86" s="12" t="s">
        <v>16</v>
      </c>
      <c r="C86" s="22">
        <v>1.1499999999999999</v>
      </c>
      <c r="D86" s="22"/>
      <c r="E86" s="22"/>
    </row>
    <row r="87" spans="1:5" x14ac:dyDescent="0.3">
      <c r="A87" s="12" t="s">
        <v>62</v>
      </c>
      <c r="B87" s="12" t="s">
        <v>16</v>
      </c>
      <c r="C87" s="22">
        <v>0.57999999999999996</v>
      </c>
      <c r="D87" s="22">
        <v>56.999999999999993</v>
      </c>
      <c r="E87" s="22">
        <f>D87*456.5</f>
        <v>26020.499999999996</v>
      </c>
    </row>
    <row r="88" spans="1:5" x14ac:dyDescent="0.3">
      <c r="A88" s="12" t="s">
        <v>61</v>
      </c>
      <c r="B88" s="12" t="s">
        <v>115</v>
      </c>
      <c r="C88" s="22">
        <v>1.53</v>
      </c>
      <c r="D88" s="22"/>
      <c r="E88" s="22"/>
    </row>
    <row r="89" spans="1:5" x14ac:dyDescent="0.3">
      <c r="A89" s="12" t="s">
        <v>62</v>
      </c>
      <c r="B89" s="12" t="s">
        <v>115</v>
      </c>
      <c r="C89" s="22">
        <v>0.66</v>
      </c>
      <c r="D89" s="22">
        <v>87</v>
      </c>
      <c r="E89" s="22">
        <f>D89*456.5</f>
        <v>39715.5</v>
      </c>
    </row>
    <row r="90" spans="1:5" x14ac:dyDescent="0.3">
      <c r="A90" s="12" t="s">
        <v>61</v>
      </c>
      <c r="B90" s="12" t="s">
        <v>116</v>
      </c>
      <c r="C90" s="22">
        <v>1.26</v>
      </c>
      <c r="D90" s="22"/>
      <c r="E90" s="22"/>
    </row>
    <row r="91" spans="1:5" x14ac:dyDescent="0.3">
      <c r="A91" s="12" t="s">
        <v>62</v>
      </c>
      <c r="B91" s="12" t="s">
        <v>116</v>
      </c>
      <c r="C91" s="22">
        <v>0.63</v>
      </c>
      <c r="D91" s="22">
        <v>63</v>
      </c>
      <c r="E91" s="22">
        <f>D91*456.5</f>
        <v>28759.5</v>
      </c>
    </row>
    <row r="93" spans="1:5" x14ac:dyDescent="0.3">
      <c r="A93" s="5"/>
    </row>
    <row r="94" spans="1:5" x14ac:dyDescent="0.3">
      <c r="A94" s="5" t="s">
        <v>149</v>
      </c>
    </row>
    <row r="95" spans="1:5" x14ac:dyDescent="0.3">
      <c r="A95" s="25" t="s">
        <v>150</v>
      </c>
      <c r="B95" s="35" t="s">
        <v>151</v>
      </c>
    </row>
    <row r="96" spans="1:5" x14ac:dyDescent="0.3">
      <c r="A96" s="28" t="s">
        <v>85</v>
      </c>
      <c r="B96" s="36">
        <v>46.62</v>
      </c>
    </row>
    <row r="97" spans="1:3" x14ac:dyDescent="0.3">
      <c r="A97" s="37" t="s">
        <v>152</v>
      </c>
      <c r="B97" s="36">
        <v>12.53</v>
      </c>
    </row>
    <row r="98" spans="1:3" x14ac:dyDescent="0.3">
      <c r="A98" s="37" t="s">
        <v>87</v>
      </c>
      <c r="B98" s="36">
        <v>76.56</v>
      </c>
    </row>
    <row r="99" spans="1:3" x14ac:dyDescent="0.3">
      <c r="A99" s="38" t="s">
        <v>153</v>
      </c>
      <c r="B99" s="39">
        <v>135.71</v>
      </c>
    </row>
    <row r="102" spans="1:3" x14ac:dyDescent="0.3">
      <c r="A102" s="5" t="s">
        <v>154</v>
      </c>
    </row>
    <row r="103" spans="1:3" x14ac:dyDescent="0.3">
      <c r="A103" s="25" t="s">
        <v>155</v>
      </c>
      <c r="B103" s="26" t="s">
        <v>156</v>
      </c>
      <c r="C103" s="35" t="s">
        <v>157</v>
      </c>
    </row>
    <row r="104" spans="1:3" x14ac:dyDescent="0.3">
      <c r="A104" s="29" t="s">
        <v>16</v>
      </c>
      <c r="B104" s="30">
        <v>2102.61</v>
      </c>
      <c r="C104" s="31">
        <v>1100.3499999999999</v>
      </c>
    </row>
    <row r="105" spans="1:3" x14ac:dyDescent="0.3">
      <c r="A105" s="29" t="s">
        <v>115</v>
      </c>
      <c r="B105" s="30">
        <v>2387.17</v>
      </c>
      <c r="C105" s="31">
        <v>2030.09</v>
      </c>
    </row>
    <row r="106" spans="1:3" x14ac:dyDescent="0.3">
      <c r="A106" s="33" t="s">
        <v>116</v>
      </c>
      <c r="B106" s="34">
        <v>2229.09</v>
      </c>
      <c r="C106" s="22">
        <v>1683.82</v>
      </c>
    </row>
    <row r="109" spans="1:3" x14ac:dyDescent="0.3">
      <c r="A109" s="5" t="s">
        <v>158</v>
      </c>
    </row>
    <row r="110" spans="1:3" x14ac:dyDescent="0.3">
      <c r="A110" s="25" t="s">
        <v>159</v>
      </c>
      <c r="B110" s="26" t="s">
        <v>155</v>
      </c>
      <c r="C110" s="35" t="s">
        <v>151</v>
      </c>
    </row>
    <row r="111" spans="1:3" x14ac:dyDescent="0.3">
      <c r="A111" s="29" t="s">
        <v>160</v>
      </c>
      <c r="B111" s="30" t="s">
        <v>16</v>
      </c>
      <c r="C111" s="31">
        <v>290.22000000000003</v>
      </c>
    </row>
    <row r="112" spans="1:3" x14ac:dyDescent="0.3">
      <c r="A112" s="29" t="s">
        <v>160</v>
      </c>
      <c r="B112" s="30" t="s">
        <v>115</v>
      </c>
      <c r="C112" s="31">
        <v>303.16000000000003</v>
      </c>
    </row>
    <row r="113" spans="1:4" x14ac:dyDescent="0.3">
      <c r="A113" s="29" t="s">
        <v>160</v>
      </c>
      <c r="B113" s="30" t="s">
        <v>116</v>
      </c>
      <c r="C113" s="31">
        <v>303.16000000000003</v>
      </c>
    </row>
    <row r="114" spans="1:4" x14ac:dyDescent="0.3">
      <c r="A114" s="33" t="s">
        <v>161</v>
      </c>
      <c r="B114" s="30" t="s">
        <v>115</v>
      </c>
      <c r="C114" s="22">
        <v>285.04000000000002</v>
      </c>
    </row>
    <row r="115" spans="1:4" x14ac:dyDescent="0.3">
      <c r="A115" s="33" t="s">
        <v>161</v>
      </c>
      <c r="B115" s="22" t="s">
        <v>116</v>
      </c>
      <c r="C115" s="22">
        <v>285.04000000000002</v>
      </c>
    </row>
    <row r="118" spans="1:4" x14ac:dyDescent="0.3">
      <c r="A118" s="5" t="s">
        <v>162</v>
      </c>
    </row>
    <row r="119" spans="1:4" x14ac:dyDescent="0.3">
      <c r="A119" s="25" t="s">
        <v>155</v>
      </c>
      <c r="B119" s="26" t="s">
        <v>113</v>
      </c>
    </row>
    <row r="120" spans="1:4" x14ac:dyDescent="0.3">
      <c r="A120" s="28" t="s">
        <v>16</v>
      </c>
      <c r="B120" s="31">
        <v>1184.2</v>
      </c>
    </row>
    <row r="121" spans="1:4" x14ac:dyDescent="0.3">
      <c r="A121" s="37" t="s">
        <v>115</v>
      </c>
      <c r="B121" s="31">
        <v>1413.45</v>
      </c>
    </row>
    <row r="122" spans="1:4" x14ac:dyDescent="0.3">
      <c r="A122" s="40" t="s">
        <v>116</v>
      </c>
      <c r="B122" s="22">
        <v>1339.26</v>
      </c>
    </row>
    <row r="125" spans="1:4" x14ac:dyDescent="0.3">
      <c r="A125" s="5" t="s">
        <v>163</v>
      </c>
    </row>
    <row r="126" spans="1:4" x14ac:dyDescent="0.3">
      <c r="A126" s="25" t="s">
        <v>164</v>
      </c>
      <c r="B126" s="26" t="s">
        <v>165</v>
      </c>
      <c r="C126" s="35" t="s">
        <v>166</v>
      </c>
      <c r="D126" s="35" t="s">
        <v>167</v>
      </c>
    </row>
    <row r="127" spans="1:4" x14ac:dyDescent="0.3">
      <c r="A127" s="29" t="s">
        <v>168</v>
      </c>
      <c r="B127" s="41">
        <v>0</v>
      </c>
      <c r="C127" s="42">
        <v>50</v>
      </c>
      <c r="D127" s="31">
        <v>30553.93</v>
      </c>
    </row>
    <row r="128" spans="1:4" x14ac:dyDescent="0.3">
      <c r="A128" s="29" t="s">
        <v>169</v>
      </c>
      <c r="B128" s="41">
        <v>51</v>
      </c>
      <c r="C128" s="42">
        <v>100</v>
      </c>
      <c r="D128" s="31">
        <v>30553.93</v>
      </c>
    </row>
    <row r="129" spans="1:4" x14ac:dyDescent="0.3">
      <c r="A129" s="33" t="s">
        <v>170</v>
      </c>
      <c r="B129" s="43">
        <v>101</v>
      </c>
      <c r="C129" s="44">
        <v>150</v>
      </c>
      <c r="D129" s="31">
        <v>30553.93</v>
      </c>
    </row>
    <row r="130" spans="1:4" x14ac:dyDescent="0.3">
      <c r="A130" s="29" t="s">
        <v>171</v>
      </c>
      <c r="B130" s="41">
        <v>151</v>
      </c>
      <c r="C130" s="42">
        <v>300</v>
      </c>
      <c r="D130" s="31">
        <v>32947.949999999997</v>
      </c>
    </row>
    <row r="131" spans="1:4" x14ac:dyDescent="0.3">
      <c r="A131" s="29" t="s">
        <v>172</v>
      </c>
      <c r="B131" s="41">
        <v>301</v>
      </c>
      <c r="C131" s="42">
        <v>500</v>
      </c>
      <c r="D131" s="31">
        <v>35341.97</v>
      </c>
    </row>
    <row r="132" spans="1:4" x14ac:dyDescent="0.3">
      <c r="A132" s="33" t="s">
        <v>173</v>
      </c>
      <c r="B132" s="43">
        <v>501</v>
      </c>
      <c r="C132" s="44">
        <v>675</v>
      </c>
      <c r="D132" s="31">
        <v>36710.65</v>
      </c>
    </row>
    <row r="133" spans="1:4" x14ac:dyDescent="0.3">
      <c r="A133" s="29" t="s">
        <v>174</v>
      </c>
      <c r="B133" s="41">
        <v>676</v>
      </c>
      <c r="C133" s="42">
        <v>850</v>
      </c>
      <c r="D133" s="31">
        <v>38135.51</v>
      </c>
    </row>
    <row r="134" spans="1:4" x14ac:dyDescent="0.3">
      <c r="A134" s="29" t="s">
        <v>175</v>
      </c>
      <c r="B134" s="41">
        <v>851</v>
      </c>
      <c r="C134" s="42">
        <v>1025</v>
      </c>
      <c r="D134" s="31">
        <v>39560.89</v>
      </c>
    </row>
    <row r="135" spans="1:4" x14ac:dyDescent="0.3">
      <c r="A135" s="33" t="s">
        <v>176</v>
      </c>
      <c r="B135" s="43">
        <v>1026</v>
      </c>
      <c r="C135" s="44">
        <v>1200</v>
      </c>
      <c r="D135" s="31">
        <v>40529.79</v>
      </c>
    </row>
    <row r="136" spans="1:4" x14ac:dyDescent="0.3">
      <c r="A136" s="29" t="s">
        <v>177</v>
      </c>
      <c r="B136" s="41">
        <v>1201</v>
      </c>
      <c r="C136" s="42">
        <v>1400</v>
      </c>
      <c r="D136" s="31">
        <v>41498.69</v>
      </c>
    </row>
    <row r="137" spans="1:4" x14ac:dyDescent="0.3">
      <c r="A137" s="29" t="s">
        <v>178</v>
      </c>
      <c r="B137" s="41">
        <v>1401</v>
      </c>
      <c r="C137" s="42">
        <v>1600</v>
      </c>
      <c r="D137" s="31">
        <v>42912.42</v>
      </c>
    </row>
    <row r="138" spans="1:4" x14ac:dyDescent="0.3">
      <c r="A138" s="33" t="s">
        <v>179</v>
      </c>
      <c r="B138" s="43">
        <v>1601</v>
      </c>
      <c r="C138" s="44">
        <v>1800</v>
      </c>
      <c r="D138" s="31">
        <v>44326.67</v>
      </c>
    </row>
    <row r="139" spans="1:4" x14ac:dyDescent="0.3">
      <c r="A139" s="29" t="s">
        <v>180</v>
      </c>
      <c r="B139" s="41">
        <v>1801</v>
      </c>
      <c r="C139" s="42">
        <v>2000</v>
      </c>
      <c r="D139" s="31">
        <v>45648.480000000003</v>
      </c>
    </row>
    <row r="140" spans="1:4" ht="11.25" customHeight="1" x14ac:dyDescent="0.3">
      <c r="A140" s="29" t="s">
        <v>181</v>
      </c>
      <c r="B140" s="41">
        <v>2001</v>
      </c>
      <c r="C140" s="42">
        <v>2200</v>
      </c>
      <c r="D140" s="31">
        <v>46970.81</v>
      </c>
    </row>
    <row r="141" spans="1:4" x14ac:dyDescent="0.3">
      <c r="A141" s="33" t="s">
        <v>182</v>
      </c>
      <c r="B141" s="43">
        <v>2201</v>
      </c>
      <c r="C141" s="44">
        <v>2400</v>
      </c>
      <c r="D141" s="31">
        <v>48127.94</v>
      </c>
    </row>
    <row r="142" spans="1:4" x14ac:dyDescent="0.3">
      <c r="A142" s="33" t="s">
        <v>183</v>
      </c>
      <c r="B142" s="43">
        <v>2401</v>
      </c>
      <c r="C142" s="44" t="s">
        <v>184</v>
      </c>
      <c r="D142" s="22">
        <v>49285.599999999999</v>
      </c>
    </row>
    <row r="145" spans="1:3" x14ac:dyDescent="0.3">
      <c r="A145" s="5" t="s">
        <v>185</v>
      </c>
    </row>
    <row r="146" spans="1:3" x14ac:dyDescent="0.3">
      <c r="A146" s="25" t="s">
        <v>186</v>
      </c>
      <c r="B146" s="35" t="s">
        <v>113</v>
      </c>
    </row>
    <row r="147" spans="1:3" x14ac:dyDescent="0.3">
      <c r="A147" s="28" t="s">
        <v>16</v>
      </c>
      <c r="B147" s="31">
        <v>2094.87</v>
      </c>
    </row>
    <row r="148" spans="1:3" x14ac:dyDescent="0.3">
      <c r="A148" s="37" t="s">
        <v>115</v>
      </c>
      <c r="B148" s="31">
        <v>2443.02</v>
      </c>
    </row>
    <row r="149" spans="1:3" x14ac:dyDescent="0.3">
      <c r="A149" s="40" t="s">
        <v>116</v>
      </c>
      <c r="B149" s="22">
        <v>2268.9499999999998</v>
      </c>
    </row>
    <row r="152" spans="1:3" ht="14.5" x14ac:dyDescent="0.35">
      <c r="A152" s="5" t="s">
        <v>187</v>
      </c>
      <c r="B152"/>
      <c r="C152"/>
    </row>
    <row r="153" spans="1:3" x14ac:dyDescent="0.3">
      <c r="A153" s="81" t="s">
        <v>186</v>
      </c>
      <c r="B153" s="82" t="s">
        <v>112</v>
      </c>
      <c r="C153" s="83" t="s">
        <v>113</v>
      </c>
    </row>
    <row r="154" spans="1:3" x14ac:dyDescent="0.3">
      <c r="A154" s="37" t="s">
        <v>16</v>
      </c>
      <c r="B154" s="30" t="s">
        <v>61</v>
      </c>
      <c r="C154" s="65">
        <v>1042.02</v>
      </c>
    </row>
    <row r="155" spans="1:3" x14ac:dyDescent="0.3">
      <c r="A155" s="37" t="s">
        <v>16</v>
      </c>
      <c r="B155" s="30" t="s">
        <v>62</v>
      </c>
      <c r="C155" s="65">
        <v>754.99</v>
      </c>
    </row>
    <row r="156" spans="1:3" x14ac:dyDescent="0.3">
      <c r="A156" s="37" t="s">
        <v>115</v>
      </c>
      <c r="B156" s="30" t="s">
        <v>61</v>
      </c>
      <c r="C156" s="65">
        <v>1839.2</v>
      </c>
    </row>
    <row r="157" spans="1:3" x14ac:dyDescent="0.3">
      <c r="A157" s="37" t="s">
        <v>115</v>
      </c>
      <c r="B157" s="30" t="s">
        <v>62</v>
      </c>
      <c r="C157" s="65">
        <v>772.35</v>
      </c>
    </row>
    <row r="158" spans="1:3" x14ac:dyDescent="0.3">
      <c r="A158" s="37" t="s">
        <v>116</v>
      </c>
      <c r="B158" s="30" t="s">
        <v>61</v>
      </c>
      <c r="C158" s="65">
        <v>1575.65</v>
      </c>
    </row>
    <row r="159" spans="1:3" x14ac:dyDescent="0.3">
      <c r="A159" s="40" t="s">
        <v>116</v>
      </c>
      <c r="B159" s="64" t="s">
        <v>62</v>
      </c>
      <c r="C159" s="66">
        <v>796.15</v>
      </c>
    </row>
    <row r="162" spans="1:5" ht="14.5" x14ac:dyDescent="0.35">
      <c r="A162" s="5" t="s">
        <v>188</v>
      </c>
      <c r="B162"/>
    </row>
    <row r="163" spans="1:5" x14ac:dyDescent="0.3">
      <c r="A163" s="81" t="s">
        <v>186</v>
      </c>
      <c r="B163" s="83" t="s">
        <v>113</v>
      </c>
    </row>
    <row r="164" spans="1:5" x14ac:dyDescent="0.3">
      <c r="A164" s="37" t="s">
        <v>16</v>
      </c>
      <c r="B164" s="65">
        <v>690</v>
      </c>
    </row>
    <row r="165" spans="1:5" x14ac:dyDescent="0.3">
      <c r="A165" s="37" t="s">
        <v>115</v>
      </c>
      <c r="B165" s="65">
        <v>753</v>
      </c>
    </row>
    <row r="166" spans="1:5" x14ac:dyDescent="0.3">
      <c r="A166" s="38" t="s">
        <v>116</v>
      </c>
      <c r="B166" s="80">
        <v>837</v>
      </c>
    </row>
    <row r="167" spans="1:5" x14ac:dyDescent="0.3">
      <c r="A167" s="60"/>
      <c r="B167" s="61"/>
    </row>
    <row r="168" spans="1:5" x14ac:dyDescent="0.3">
      <c r="B168" s="85"/>
    </row>
    <row r="169" spans="1:5" x14ac:dyDescent="0.3">
      <c r="A169" s="5" t="s">
        <v>189</v>
      </c>
      <c r="B169" s="85"/>
    </row>
    <row r="170" spans="1:5" x14ac:dyDescent="0.3">
      <c r="A170" s="84" t="s">
        <v>113</v>
      </c>
      <c r="B170" s="85"/>
    </row>
    <row r="171" spans="1:5" x14ac:dyDescent="0.3">
      <c r="A171" s="22">
        <v>1388</v>
      </c>
      <c r="B171" s="160" t="s">
        <v>289</v>
      </c>
      <c r="C171" s="161"/>
      <c r="D171" s="161"/>
    </row>
    <row r="172" spans="1:5" x14ac:dyDescent="0.3">
      <c r="B172" s="85"/>
    </row>
    <row r="174" spans="1:5" ht="14.5" x14ac:dyDescent="0.35">
      <c r="A174" s="5" t="s">
        <v>190</v>
      </c>
      <c r="B174"/>
      <c r="C174"/>
      <c r="D174"/>
      <c r="E174"/>
    </row>
    <row r="175" spans="1:5" x14ac:dyDescent="0.3">
      <c r="A175" s="81" t="s">
        <v>186</v>
      </c>
      <c r="B175" s="82" t="s">
        <v>191</v>
      </c>
      <c r="C175" s="82" t="s">
        <v>32</v>
      </c>
      <c r="D175" s="82" t="s">
        <v>192</v>
      </c>
      <c r="E175" s="83" t="s">
        <v>113</v>
      </c>
    </row>
    <row r="176" spans="1:5" x14ac:dyDescent="0.3">
      <c r="A176" s="37" t="s">
        <v>16</v>
      </c>
      <c r="B176" s="30" t="s">
        <v>61</v>
      </c>
      <c r="C176" s="30" t="s">
        <v>193</v>
      </c>
      <c r="D176" s="30" t="s">
        <v>38</v>
      </c>
      <c r="E176" s="65">
        <v>3716.25</v>
      </c>
    </row>
    <row r="177" spans="1:5" x14ac:dyDescent="0.3">
      <c r="A177" s="37" t="s">
        <v>16</v>
      </c>
      <c r="B177" s="30" t="s">
        <v>62</v>
      </c>
      <c r="C177" s="30" t="s">
        <v>193</v>
      </c>
      <c r="D177" s="30" t="s">
        <v>38</v>
      </c>
      <c r="E177" s="65">
        <v>1566.4</v>
      </c>
    </row>
    <row r="178" spans="1:5" x14ac:dyDescent="0.3">
      <c r="A178" s="37" t="s">
        <v>115</v>
      </c>
      <c r="B178" s="30" t="s">
        <v>61</v>
      </c>
      <c r="C178" s="30" t="s">
        <v>193</v>
      </c>
      <c r="D178" s="30" t="s">
        <v>38</v>
      </c>
      <c r="E178" s="65">
        <v>4223.1000000000004</v>
      </c>
    </row>
    <row r="179" spans="1:5" x14ac:dyDescent="0.3">
      <c r="A179" s="37" t="s">
        <v>115</v>
      </c>
      <c r="B179" s="30" t="s">
        <v>62</v>
      </c>
      <c r="C179" s="30" t="s">
        <v>193</v>
      </c>
      <c r="D179" s="30" t="s">
        <v>38</v>
      </c>
      <c r="E179" s="65">
        <v>1938.4</v>
      </c>
    </row>
    <row r="180" spans="1:5" x14ac:dyDescent="0.3">
      <c r="A180" s="37" t="s">
        <v>116</v>
      </c>
      <c r="B180" s="30" t="s">
        <v>61</v>
      </c>
      <c r="C180" s="30" t="s">
        <v>193</v>
      </c>
      <c r="D180" s="30" t="s">
        <v>38</v>
      </c>
      <c r="E180" s="65">
        <v>3522.4</v>
      </c>
    </row>
    <row r="181" spans="1:5" x14ac:dyDescent="0.3">
      <c r="A181" s="37" t="s">
        <v>116</v>
      </c>
      <c r="B181" s="30" t="s">
        <v>62</v>
      </c>
      <c r="C181" s="30" t="s">
        <v>193</v>
      </c>
      <c r="D181" s="30" t="s">
        <v>38</v>
      </c>
      <c r="E181" s="65">
        <v>2472.4</v>
      </c>
    </row>
    <row r="182" spans="1:5" x14ac:dyDescent="0.3">
      <c r="A182" s="37" t="s">
        <v>16</v>
      </c>
      <c r="B182" s="30" t="s">
        <v>61</v>
      </c>
      <c r="C182" s="30" t="s">
        <v>193</v>
      </c>
      <c r="D182" s="30" t="s">
        <v>194</v>
      </c>
      <c r="E182" s="65">
        <v>2084.04</v>
      </c>
    </row>
    <row r="183" spans="1:5" x14ac:dyDescent="0.3">
      <c r="A183" s="37" t="s">
        <v>16</v>
      </c>
      <c r="B183" s="30" t="s">
        <v>62</v>
      </c>
      <c r="C183" s="30" t="s">
        <v>193</v>
      </c>
      <c r="D183" s="30" t="s">
        <v>194</v>
      </c>
      <c r="E183" s="65">
        <v>1509.97</v>
      </c>
    </row>
    <row r="184" spans="1:5" x14ac:dyDescent="0.3">
      <c r="A184" s="37" t="s">
        <v>115</v>
      </c>
      <c r="B184" s="30" t="s">
        <v>61</v>
      </c>
      <c r="C184" s="30" t="s">
        <v>193</v>
      </c>
      <c r="D184" s="30" t="s">
        <v>194</v>
      </c>
      <c r="E184" s="65">
        <v>3678.4</v>
      </c>
    </row>
    <row r="185" spans="1:5" x14ac:dyDescent="0.3">
      <c r="A185" s="37" t="s">
        <v>115</v>
      </c>
      <c r="B185" s="30" t="s">
        <v>62</v>
      </c>
      <c r="C185" s="30" t="s">
        <v>193</v>
      </c>
      <c r="D185" s="30" t="s">
        <v>194</v>
      </c>
      <c r="E185" s="65">
        <v>1544.7</v>
      </c>
    </row>
    <row r="186" spans="1:5" x14ac:dyDescent="0.3">
      <c r="A186" s="37" t="s">
        <v>116</v>
      </c>
      <c r="B186" s="30" t="s">
        <v>61</v>
      </c>
      <c r="C186" s="30" t="s">
        <v>193</v>
      </c>
      <c r="D186" s="30" t="s">
        <v>194</v>
      </c>
      <c r="E186" s="65">
        <v>3151.3</v>
      </c>
    </row>
    <row r="187" spans="1:5" x14ac:dyDescent="0.3">
      <c r="A187" s="38" t="s">
        <v>116</v>
      </c>
      <c r="B187" s="34" t="s">
        <v>62</v>
      </c>
      <c r="C187" s="34" t="s">
        <v>193</v>
      </c>
      <c r="D187" s="34" t="s">
        <v>194</v>
      </c>
      <c r="E187" s="80">
        <v>1592.3</v>
      </c>
    </row>
    <row r="188" spans="1:5" x14ac:dyDescent="0.3">
      <c r="B188" s="85"/>
      <c r="C188" s="85"/>
      <c r="D188" s="85"/>
      <c r="E188" s="85"/>
    </row>
    <row r="189" spans="1:5" x14ac:dyDescent="0.3">
      <c r="B189" s="85"/>
      <c r="C189" s="85"/>
      <c r="D189" s="85"/>
      <c r="E189" s="85"/>
    </row>
    <row r="190" spans="1:5" ht="14.5" x14ac:dyDescent="0.35">
      <c r="A190" s="5" t="s">
        <v>106</v>
      </c>
      <c r="B190"/>
      <c r="C190"/>
      <c r="D190"/>
      <c r="E190"/>
    </row>
    <row r="191" spans="1:5" x14ac:dyDescent="0.3">
      <c r="A191" s="84" t="s">
        <v>113</v>
      </c>
    </row>
    <row r="192" spans="1:5" x14ac:dyDescent="0.3">
      <c r="A192" s="22">
        <v>30000</v>
      </c>
    </row>
    <row r="193" spans="1:12" ht="14.5" x14ac:dyDescent="0.35">
      <c r="A193" s="86"/>
    </row>
    <row r="194" spans="1:12" ht="14.5" x14ac:dyDescent="0.35">
      <c r="A194" s="86"/>
    </row>
    <row r="195" spans="1:12" ht="14.5" x14ac:dyDescent="0.35">
      <c r="A195" s="5" t="s">
        <v>195</v>
      </c>
      <c r="B195"/>
      <c r="C195"/>
      <c r="D195"/>
    </row>
    <row r="196" spans="1:12" x14ac:dyDescent="0.3">
      <c r="A196" s="25"/>
      <c r="B196" s="35" t="s">
        <v>16</v>
      </c>
      <c r="C196" s="35" t="s">
        <v>115</v>
      </c>
      <c r="D196" s="35" t="s">
        <v>116</v>
      </c>
    </row>
    <row r="197" spans="1:12" x14ac:dyDescent="0.3">
      <c r="A197" s="28" t="s">
        <v>196</v>
      </c>
      <c r="B197" s="31">
        <f>200*$B$104</f>
        <v>420522</v>
      </c>
      <c r="C197" s="31">
        <f>200*$B$105</f>
        <v>477434</v>
      </c>
      <c r="D197" s="31">
        <f>200*$B$106</f>
        <v>445818</v>
      </c>
    </row>
    <row r="198" spans="1:12" x14ac:dyDescent="0.3">
      <c r="A198" s="28" t="s">
        <v>197</v>
      </c>
      <c r="B198" s="31">
        <f>200*$C$111</f>
        <v>58044.000000000007</v>
      </c>
      <c r="C198" s="31">
        <f>200*($C$112+$C$115)</f>
        <v>117640.00000000001</v>
      </c>
      <c r="D198" s="31">
        <f>200*($C$112+$C$115)</f>
        <v>117640.00000000001</v>
      </c>
    </row>
    <row r="199" spans="1:12" x14ac:dyDescent="0.3">
      <c r="A199" s="28" t="s">
        <v>198</v>
      </c>
      <c r="B199" s="31">
        <f>200*$B$120</f>
        <v>236840</v>
      </c>
      <c r="C199" s="31">
        <f>200*$B$121</f>
        <v>282690</v>
      </c>
      <c r="D199" s="31">
        <f>200*$B$122</f>
        <v>267852</v>
      </c>
    </row>
    <row r="200" spans="1:12" x14ac:dyDescent="0.3">
      <c r="A200" s="28" t="s">
        <v>199</v>
      </c>
      <c r="B200" s="31">
        <f>$D$127</f>
        <v>30553.93</v>
      </c>
      <c r="C200" s="31">
        <f t="shared" ref="C200:D200" si="1">$D$127</f>
        <v>30553.93</v>
      </c>
      <c r="D200" s="31">
        <f t="shared" si="1"/>
        <v>30553.93</v>
      </c>
    </row>
    <row r="201" spans="1:12" x14ac:dyDescent="0.3">
      <c r="A201" s="45"/>
      <c r="B201" s="46">
        <f>SUM(B197:B200)</f>
        <v>745959.93</v>
      </c>
      <c r="C201" s="46">
        <f t="shared" ref="C201:D201" si="2">SUM(C197:C200)</f>
        <v>908317.93</v>
      </c>
      <c r="D201" s="46">
        <f t="shared" si="2"/>
        <v>861863.93</v>
      </c>
    </row>
    <row r="202" spans="1:12" ht="14.5" x14ac:dyDescent="0.35">
      <c r="A202"/>
      <c r="B202"/>
      <c r="C202"/>
      <c r="D202"/>
    </row>
    <row r="203" spans="1:12" ht="18.5" x14ac:dyDescent="0.45">
      <c r="A203" s="5" t="s">
        <v>200</v>
      </c>
      <c r="B203"/>
      <c r="C203"/>
      <c r="D203"/>
      <c r="F203" s="5" t="s">
        <v>201</v>
      </c>
      <c r="G203"/>
      <c r="H203"/>
      <c r="I203"/>
      <c r="J203" s="1"/>
      <c r="K203"/>
      <c r="L203"/>
    </row>
    <row r="204" spans="1:12" x14ac:dyDescent="0.3">
      <c r="A204" s="25" t="s">
        <v>202</v>
      </c>
      <c r="B204" s="35" t="s">
        <v>16</v>
      </c>
      <c r="C204" s="35" t="s">
        <v>115</v>
      </c>
      <c r="D204" s="35" t="s">
        <v>116</v>
      </c>
      <c r="F204" s="35"/>
      <c r="G204" s="47" t="s">
        <v>16</v>
      </c>
      <c r="H204" s="47"/>
      <c r="I204" s="47" t="s">
        <v>115</v>
      </c>
      <c r="J204" s="47"/>
      <c r="K204" s="47" t="s">
        <v>116</v>
      </c>
      <c r="L204" s="47"/>
    </row>
    <row r="205" spans="1:12" ht="14" x14ac:dyDescent="0.3">
      <c r="A205" s="28" t="s">
        <v>203</v>
      </c>
      <c r="B205" s="31">
        <f>0.25*(100*G214+100*H214)</f>
        <v>146593.5</v>
      </c>
      <c r="C205" s="31">
        <f>0.25*200*I214</f>
        <v>234382.00000000003</v>
      </c>
      <c r="D205" s="31">
        <f>0.25*200*K214</f>
        <v>195493</v>
      </c>
      <c r="F205" s="48"/>
      <c r="G205" s="49" t="s">
        <v>204</v>
      </c>
      <c r="H205" s="50" t="s">
        <v>205</v>
      </c>
      <c r="I205" s="49" t="s">
        <v>206</v>
      </c>
      <c r="J205" s="50" t="s">
        <v>205</v>
      </c>
      <c r="K205" s="49" t="s">
        <v>206</v>
      </c>
      <c r="L205" s="50" t="s">
        <v>205</v>
      </c>
    </row>
    <row r="206" spans="1:12" ht="17.25" customHeight="1" x14ac:dyDescent="0.45">
      <c r="A206" s="28" t="s">
        <v>207</v>
      </c>
      <c r="B206" s="31">
        <f>100*G210+100*H210</f>
        <v>179700.5</v>
      </c>
      <c r="C206" s="31">
        <f>200*I210</f>
        <v>367840</v>
      </c>
      <c r="D206" s="31">
        <f>200*K210</f>
        <v>315130</v>
      </c>
      <c r="F206" s="51" t="s">
        <v>208</v>
      </c>
      <c r="G206" s="52"/>
      <c r="H206" s="52"/>
      <c r="I206" s="52"/>
      <c r="J206" s="53"/>
      <c r="K206" s="52"/>
      <c r="L206" s="2"/>
    </row>
    <row r="207" spans="1:12" x14ac:dyDescent="0.3">
      <c r="A207" s="28" t="s">
        <v>209</v>
      </c>
      <c r="B207" s="31">
        <f>200*2135.41</f>
        <v>427082</v>
      </c>
      <c r="C207" s="31">
        <f>200*2490.3</f>
        <v>498060.00000000006</v>
      </c>
      <c r="D207" s="31">
        <f>200*2312.86</f>
        <v>462572</v>
      </c>
      <c r="F207" s="12" t="s">
        <v>210</v>
      </c>
      <c r="G207" s="34">
        <v>3716.25</v>
      </c>
      <c r="H207" s="54">
        <v>1566.4</v>
      </c>
      <c r="I207" s="34">
        <v>4223.1000000000004</v>
      </c>
      <c r="J207" s="54">
        <v>1938.4</v>
      </c>
      <c r="K207" s="34">
        <v>3522.4</v>
      </c>
      <c r="L207" s="54">
        <v>2472.4</v>
      </c>
    </row>
    <row r="208" spans="1:12" x14ac:dyDescent="0.3">
      <c r="A208" s="55" t="s">
        <v>211</v>
      </c>
      <c r="B208" s="56">
        <f>200*G219</f>
        <v>138000</v>
      </c>
      <c r="C208" s="56">
        <f>200*H219</f>
        <v>167400</v>
      </c>
      <c r="D208" s="57">
        <f>200*I219</f>
        <v>150000</v>
      </c>
      <c r="F208" s="12" t="s">
        <v>212</v>
      </c>
      <c r="G208" s="34">
        <v>2084.04</v>
      </c>
      <c r="H208" s="54">
        <v>1509.97</v>
      </c>
      <c r="I208" s="34">
        <v>3678.4</v>
      </c>
      <c r="J208" s="54">
        <v>1544.7</v>
      </c>
      <c r="K208" s="34">
        <v>3151.3</v>
      </c>
      <c r="L208" s="54">
        <v>1592.3</v>
      </c>
    </row>
    <row r="209" spans="1:12" ht="13.5" customHeight="1" x14ac:dyDescent="0.45">
      <c r="A209" s="45"/>
      <c r="B209" s="46">
        <f>SUM(B205:B208)</f>
        <v>891376</v>
      </c>
      <c r="C209" s="46">
        <f t="shared" ref="C209:D209" si="3">SUM(C205:C208)</f>
        <v>1267682</v>
      </c>
      <c r="D209" s="46">
        <f t="shared" si="3"/>
        <v>1123195</v>
      </c>
      <c r="F209" s="51" t="s">
        <v>213</v>
      </c>
      <c r="G209" s="52"/>
      <c r="H209" s="52"/>
      <c r="I209" s="52"/>
      <c r="J209" s="53"/>
      <c r="K209" s="52"/>
      <c r="L209" s="2"/>
    </row>
    <row r="210" spans="1:12" x14ac:dyDescent="0.3">
      <c r="F210" s="12" t="s">
        <v>214</v>
      </c>
      <c r="G210" s="34">
        <f t="shared" ref="G210:L210" si="4">0.5*G208</f>
        <v>1042.02</v>
      </c>
      <c r="H210" s="54">
        <f t="shared" si="4"/>
        <v>754.98500000000001</v>
      </c>
      <c r="I210" s="34">
        <f t="shared" si="4"/>
        <v>1839.2</v>
      </c>
      <c r="J210" s="54">
        <f t="shared" si="4"/>
        <v>772.35</v>
      </c>
      <c r="K210" s="34">
        <f t="shared" si="4"/>
        <v>1575.65</v>
      </c>
      <c r="L210" s="54">
        <f t="shared" si="4"/>
        <v>796.15</v>
      </c>
    </row>
    <row r="211" spans="1:12" ht="18.5" x14ac:dyDescent="0.45">
      <c r="A211" s="25" t="s">
        <v>215</v>
      </c>
      <c r="B211" s="35" t="s">
        <v>16</v>
      </c>
      <c r="C211" s="35" t="s">
        <v>115</v>
      </c>
      <c r="D211" s="35" t="s">
        <v>116</v>
      </c>
      <c r="F211" s="51" t="s">
        <v>216</v>
      </c>
      <c r="G211" s="52"/>
      <c r="H211" s="52"/>
      <c r="I211" s="52"/>
      <c r="J211" s="53"/>
      <c r="K211" s="52"/>
      <c r="L211" s="2"/>
    </row>
    <row r="212" spans="1:12" x14ac:dyDescent="0.3">
      <c r="A212" s="28" t="s">
        <v>217</v>
      </c>
      <c r="B212" s="31">
        <f>0.5*(100*G214+100*H214)</f>
        <v>293187</v>
      </c>
      <c r="C212" s="31">
        <f>0.5*200*I214</f>
        <v>468764.00000000006</v>
      </c>
      <c r="D212" s="31">
        <f>0.5*200*K214</f>
        <v>390986</v>
      </c>
      <c r="F212" s="12" t="s">
        <v>214</v>
      </c>
      <c r="G212" s="34">
        <f>1.11*G210</f>
        <v>1156.6422</v>
      </c>
      <c r="H212" s="54">
        <f t="shared" ref="H212:L212" si="5">1.11*H210</f>
        <v>838.03335000000004</v>
      </c>
      <c r="I212" s="34">
        <f t="shared" si="5"/>
        <v>2041.5120000000002</v>
      </c>
      <c r="J212" s="54">
        <f t="shared" si="5"/>
        <v>857.30850000000009</v>
      </c>
      <c r="K212" s="34">
        <f t="shared" si="5"/>
        <v>1748.9715000000003</v>
      </c>
      <c r="L212" s="54">
        <f t="shared" si="5"/>
        <v>883.7265000000001</v>
      </c>
    </row>
    <row r="213" spans="1:12" ht="15" customHeight="1" x14ac:dyDescent="0.45">
      <c r="A213" s="28" t="s">
        <v>207</v>
      </c>
      <c r="B213" s="31">
        <f>1.11*B206</f>
        <v>199467.55500000002</v>
      </c>
      <c r="C213" s="31">
        <f>1.11*C206</f>
        <v>408302.4</v>
      </c>
      <c r="D213" s="31">
        <f>1.11*D206</f>
        <v>349794.30000000005</v>
      </c>
      <c r="F213" s="58">
        <v>2025</v>
      </c>
      <c r="G213" s="52"/>
      <c r="H213" s="52"/>
      <c r="I213" s="52"/>
      <c r="J213" s="53"/>
      <c r="K213" s="52"/>
      <c r="L213" s="2"/>
    </row>
    <row r="214" spans="1:12" x14ac:dyDescent="0.3">
      <c r="A214" s="28" t="s">
        <v>209</v>
      </c>
      <c r="B214" s="31">
        <f>200*2135.41</f>
        <v>427082</v>
      </c>
      <c r="C214" s="31">
        <f>200*2490.3</f>
        <v>498060.00000000006</v>
      </c>
      <c r="D214" s="31">
        <f>200*2312.86</f>
        <v>462572</v>
      </c>
      <c r="F214" s="12" t="s">
        <v>218</v>
      </c>
      <c r="G214" s="34">
        <v>4125.04</v>
      </c>
      <c r="H214" s="54">
        <v>1738.7</v>
      </c>
      <c r="I214" s="34">
        <v>4687.6400000000003</v>
      </c>
      <c r="J214" s="54">
        <v>2151.62</v>
      </c>
      <c r="K214" s="34">
        <v>3909.86</v>
      </c>
      <c r="L214" s="54">
        <v>2744.36</v>
      </c>
    </row>
    <row r="215" spans="1:12" x14ac:dyDescent="0.3">
      <c r="A215" s="28" t="s">
        <v>211</v>
      </c>
      <c r="B215" s="31">
        <f>B208</f>
        <v>138000</v>
      </c>
      <c r="C215" s="31">
        <f>C208</f>
        <v>167400</v>
      </c>
      <c r="D215" s="31">
        <f>D208</f>
        <v>150000</v>
      </c>
      <c r="F215" s="12" t="s">
        <v>212</v>
      </c>
      <c r="G215" s="34">
        <v>2313.2800000000002</v>
      </c>
      <c r="H215" s="54">
        <v>1676.07</v>
      </c>
      <c r="I215" s="34">
        <v>4083.02</v>
      </c>
      <c r="J215" s="54">
        <v>1714.62</v>
      </c>
      <c r="K215" s="34">
        <v>3497.94</v>
      </c>
      <c r="L215" s="54">
        <v>1767.45</v>
      </c>
    </row>
    <row r="216" spans="1:12" x14ac:dyDescent="0.3">
      <c r="A216" s="45"/>
      <c r="B216" s="46">
        <f>SUM(B212:B215)</f>
        <v>1057736.5550000002</v>
      </c>
      <c r="C216" s="46">
        <f t="shared" ref="C216:D216" si="6">SUM(C212:C215)</f>
        <v>1542526.4000000001</v>
      </c>
      <c r="D216" s="46">
        <f t="shared" si="6"/>
        <v>1353352.3</v>
      </c>
    </row>
    <row r="217" spans="1:12" ht="14.5" x14ac:dyDescent="0.35">
      <c r="A217"/>
      <c r="B217"/>
      <c r="C217"/>
      <c r="D217"/>
      <c r="F217" s="5" t="s">
        <v>219</v>
      </c>
      <c r="G217"/>
      <c r="H217"/>
      <c r="I217"/>
    </row>
    <row r="218" spans="1:12" x14ac:dyDescent="0.3">
      <c r="A218" s="45" t="s">
        <v>220</v>
      </c>
      <c r="B218" s="46">
        <f>SUM(B212:B213)</f>
        <v>492654.55500000005</v>
      </c>
      <c r="C218" s="46">
        <f t="shared" ref="C218:D218" si="7">SUM(C212:C213)</f>
        <v>877066.40000000014</v>
      </c>
      <c r="D218" s="46">
        <f t="shared" si="7"/>
        <v>740780.3</v>
      </c>
      <c r="F218" s="59"/>
      <c r="G218" s="59" t="s">
        <v>16</v>
      </c>
      <c r="H218" s="59" t="s">
        <v>115</v>
      </c>
      <c r="I218" s="59" t="s">
        <v>116</v>
      </c>
    </row>
    <row r="219" spans="1:12" x14ac:dyDescent="0.3">
      <c r="F219" s="12"/>
      <c r="G219" s="22">
        <v>690</v>
      </c>
      <c r="H219" s="22">
        <v>837</v>
      </c>
      <c r="I219" s="22">
        <v>750</v>
      </c>
    </row>
    <row r="220" spans="1:12" x14ac:dyDescent="0.3">
      <c r="F220" s="60"/>
      <c r="G220" s="61"/>
      <c r="H220" s="61"/>
      <c r="I220" s="61"/>
    </row>
    <row r="221" spans="1:12" ht="14.5" x14ac:dyDescent="0.35">
      <c r="A221" s="5" t="s">
        <v>221</v>
      </c>
      <c r="B221"/>
      <c r="C221"/>
      <c r="D221"/>
    </row>
    <row r="222" spans="1:12" ht="15" customHeight="1" x14ac:dyDescent="0.3">
      <c r="A222" s="25" t="s">
        <v>186</v>
      </c>
      <c r="B222" s="26" t="s">
        <v>191</v>
      </c>
      <c r="C222" s="26" t="s">
        <v>113</v>
      </c>
      <c r="D222" s="35" t="s">
        <v>114</v>
      </c>
    </row>
    <row r="223" spans="1:12" x14ac:dyDescent="0.3">
      <c r="A223" s="29" t="s">
        <v>16</v>
      </c>
      <c r="B223" s="30" t="s">
        <v>61</v>
      </c>
      <c r="C223" s="30">
        <v>166.12</v>
      </c>
      <c r="D223" s="31"/>
    </row>
    <row r="224" spans="1:12" x14ac:dyDescent="0.3">
      <c r="A224" s="29" t="s">
        <v>16</v>
      </c>
      <c r="B224" s="30" t="s">
        <v>62</v>
      </c>
      <c r="C224" s="30">
        <v>77.209999999999994</v>
      </c>
      <c r="D224" s="31">
        <f>100*C223-100*C224</f>
        <v>8891</v>
      </c>
    </row>
    <row r="225" spans="1:4" x14ac:dyDescent="0.3">
      <c r="A225" s="29" t="s">
        <v>115</v>
      </c>
      <c r="B225" s="30" t="s">
        <v>61</v>
      </c>
      <c r="C225" s="30">
        <v>357.92</v>
      </c>
      <c r="D225" s="31"/>
    </row>
    <row r="226" spans="1:4" x14ac:dyDescent="0.3">
      <c r="A226" s="29" t="s">
        <v>115</v>
      </c>
      <c r="B226" s="30" t="s">
        <v>62</v>
      </c>
      <c r="C226" s="30">
        <v>70.28</v>
      </c>
      <c r="D226" s="31">
        <f>100*C225-100*C226</f>
        <v>28764</v>
      </c>
    </row>
    <row r="227" spans="1:4" x14ac:dyDescent="0.3">
      <c r="A227" s="29" t="s">
        <v>116</v>
      </c>
      <c r="B227" s="30" t="s">
        <v>61</v>
      </c>
      <c r="C227" s="30">
        <v>189.64</v>
      </c>
      <c r="D227" s="31"/>
    </row>
    <row r="228" spans="1:4" x14ac:dyDescent="0.3">
      <c r="A228" s="63" t="s">
        <v>116</v>
      </c>
      <c r="B228" s="64" t="s">
        <v>62</v>
      </c>
      <c r="C228" s="64">
        <v>67.95</v>
      </c>
      <c r="D228" s="22">
        <f>100*C227-100*C228</f>
        <v>12169</v>
      </c>
    </row>
    <row r="230" spans="1:4" x14ac:dyDescent="0.3">
      <c r="A230" s="5" t="s">
        <v>222</v>
      </c>
    </row>
    <row r="231" spans="1:4" x14ac:dyDescent="0.3">
      <c r="A231" s="25" t="s">
        <v>186</v>
      </c>
      <c r="B231" s="26" t="s">
        <v>191</v>
      </c>
      <c r="C231" s="35" t="s">
        <v>113</v>
      </c>
    </row>
    <row r="232" spans="1:4" x14ac:dyDescent="0.3">
      <c r="A232" s="29" t="s">
        <v>16</v>
      </c>
      <c r="B232" s="30" t="s">
        <v>61</v>
      </c>
      <c r="C232" s="65">
        <v>56.83</v>
      </c>
    </row>
    <row r="233" spans="1:4" x14ac:dyDescent="0.3">
      <c r="A233" s="29" t="s">
        <v>16</v>
      </c>
      <c r="B233" s="30" t="s">
        <v>62</v>
      </c>
      <c r="C233" s="65">
        <v>14.28</v>
      </c>
    </row>
    <row r="234" spans="1:4" x14ac:dyDescent="0.3">
      <c r="A234" s="29" t="s">
        <v>115</v>
      </c>
      <c r="B234" s="30" t="s">
        <v>61</v>
      </c>
      <c r="C234" s="65">
        <v>127.17</v>
      </c>
    </row>
    <row r="235" spans="1:4" x14ac:dyDescent="0.3">
      <c r="A235" s="29" t="s">
        <v>115</v>
      </c>
      <c r="B235" s="30" t="s">
        <v>62</v>
      </c>
      <c r="C235" s="65">
        <v>16.04</v>
      </c>
    </row>
    <row r="236" spans="1:4" x14ac:dyDescent="0.3">
      <c r="A236" s="29" t="s">
        <v>116</v>
      </c>
      <c r="B236" s="30" t="s">
        <v>61</v>
      </c>
      <c r="C236" s="65">
        <v>70.41</v>
      </c>
    </row>
    <row r="237" spans="1:4" x14ac:dyDescent="0.3">
      <c r="A237" s="63" t="s">
        <v>116</v>
      </c>
      <c r="B237" s="64" t="s">
        <v>62</v>
      </c>
      <c r="C237" s="66">
        <v>8.64</v>
      </c>
    </row>
    <row r="240" spans="1:4" ht="14.5" x14ac:dyDescent="0.35">
      <c r="A240" s="5" t="s">
        <v>223</v>
      </c>
      <c r="B240"/>
      <c r="C240"/>
      <c r="D240"/>
    </row>
    <row r="241" spans="1:4" x14ac:dyDescent="0.3">
      <c r="A241" s="25" t="s">
        <v>186</v>
      </c>
      <c r="B241" s="26" t="s">
        <v>191</v>
      </c>
      <c r="C241" s="26" t="s">
        <v>32</v>
      </c>
      <c r="D241" s="35" t="s">
        <v>113</v>
      </c>
    </row>
    <row r="242" spans="1:4" x14ac:dyDescent="0.3">
      <c r="A242" s="29" t="s">
        <v>16</v>
      </c>
      <c r="B242" s="30" t="s">
        <v>61</v>
      </c>
      <c r="C242" s="30" t="s">
        <v>38</v>
      </c>
      <c r="D242" s="65">
        <v>4125.04</v>
      </c>
    </row>
    <row r="243" spans="1:4" x14ac:dyDescent="0.3">
      <c r="A243" s="29" t="s">
        <v>16</v>
      </c>
      <c r="B243" s="30" t="s">
        <v>62</v>
      </c>
      <c r="C243" s="30" t="s">
        <v>38</v>
      </c>
      <c r="D243" s="65">
        <v>1738.7</v>
      </c>
    </row>
    <row r="244" spans="1:4" x14ac:dyDescent="0.3">
      <c r="A244" s="29" t="s">
        <v>115</v>
      </c>
      <c r="B244" s="30" t="s">
        <v>61</v>
      </c>
      <c r="C244" s="30" t="s">
        <v>38</v>
      </c>
      <c r="D244" s="65">
        <v>4687.6400000000003</v>
      </c>
    </row>
    <row r="245" spans="1:4" x14ac:dyDescent="0.3">
      <c r="A245" s="29" t="s">
        <v>115</v>
      </c>
      <c r="B245" s="30" t="s">
        <v>62</v>
      </c>
      <c r="C245" s="30" t="s">
        <v>38</v>
      </c>
      <c r="D245" s="65">
        <v>2151.62</v>
      </c>
    </row>
    <row r="246" spans="1:4" x14ac:dyDescent="0.3">
      <c r="A246" s="29" t="s">
        <v>116</v>
      </c>
      <c r="B246" s="30" t="s">
        <v>61</v>
      </c>
      <c r="C246" s="30" t="s">
        <v>38</v>
      </c>
      <c r="D246" s="65">
        <v>3909.86</v>
      </c>
    </row>
    <row r="247" spans="1:4" x14ac:dyDescent="0.3">
      <c r="A247" s="63" t="s">
        <v>116</v>
      </c>
      <c r="B247" s="64" t="s">
        <v>62</v>
      </c>
      <c r="C247" s="30" t="s">
        <v>38</v>
      </c>
      <c r="D247" s="66">
        <v>2744.36</v>
      </c>
    </row>
    <row r="248" spans="1:4" x14ac:dyDescent="0.3">
      <c r="A248" s="29" t="s">
        <v>16</v>
      </c>
      <c r="B248" s="30" t="s">
        <v>61</v>
      </c>
      <c r="C248" s="30" t="s">
        <v>194</v>
      </c>
      <c r="D248" s="65">
        <v>2313.2800000000002</v>
      </c>
    </row>
    <row r="249" spans="1:4" x14ac:dyDescent="0.3">
      <c r="A249" s="29" t="s">
        <v>16</v>
      </c>
      <c r="B249" s="30" t="s">
        <v>62</v>
      </c>
      <c r="C249" s="30" t="s">
        <v>194</v>
      </c>
      <c r="D249" s="65">
        <v>1676.07</v>
      </c>
    </row>
    <row r="250" spans="1:4" x14ac:dyDescent="0.3">
      <c r="A250" s="29" t="s">
        <v>115</v>
      </c>
      <c r="B250" s="30" t="s">
        <v>61</v>
      </c>
      <c r="C250" s="30" t="s">
        <v>194</v>
      </c>
      <c r="D250" s="65">
        <v>4083.02</v>
      </c>
    </row>
    <row r="251" spans="1:4" x14ac:dyDescent="0.3">
      <c r="A251" s="29" t="s">
        <v>115</v>
      </c>
      <c r="B251" s="30" t="s">
        <v>62</v>
      </c>
      <c r="C251" s="30" t="s">
        <v>194</v>
      </c>
      <c r="D251" s="65">
        <v>1714.62</v>
      </c>
    </row>
    <row r="252" spans="1:4" x14ac:dyDescent="0.3">
      <c r="A252" s="29" t="s">
        <v>116</v>
      </c>
      <c r="B252" s="30" t="s">
        <v>61</v>
      </c>
      <c r="C252" s="30" t="s">
        <v>194</v>
      </c>
      <c r="D252" s="65">
        <v>3497.94</v>
      </c>
    </row>
    <row r="253" spans="1:4" x14ac:dyDescent="0.3">
      <c r="A253" s="33" t="s">
        <v>116</v>
      </c>
      <c r="B253" s="34" t="s">
        <v>62</v>
      </c>
      <c r="C253" s="64" t="s">
        <v>194</v>
      </c>
      <c r="D253" s="80">
        <v>1767.45</v>
      </c>
    </row>
    <row r="256" spans="1:4" ht="14.5" x14ac:dyDescent="0.35">
      <c r="A256" s="5" t="s">
        <v>93</v>
      </c>
      <c r="B256"/>
      <c r="C256"/>
    </row>
    <row r="257" spans="1:5" ht="18.5" x14ac:dyDescent="0.45">
      <c r="A257" s="79" t="s">
        <v>113</v>
      </c>
      <c r="B257" s="1"/>
      <c r="C257"/>
    </row>
    <row r="258" spans="1:5" ht="18.5" x14ac:dyDescent="0.45">
      <c r="A258" s="22">
        <v>1512.89</v>
      </c>
      <c r="B258" s="4" t="s">
        <v>224</v>
      </c>
      <c r="C258"/>
    </row>
    <row r="259" spans="1:5" ht="14.5" x14ac:dyDescent="0.35">
      <c r="A259" s="29" t="s">
        <v>225</v>
      </c>
      <c r="B259" s="3"/>
      <c r="C259"/>
    </row>
    <row r="262" spans="1:5" ht="14.5" x14ac:dyDescent="0.35">
      <c r="A262" s="5" t="s">
        <v>226</v>
      </c>
      <c r="B262"/>
      <c r="C262"/>
      <c r="D262"/>
    </row>
    <row r="263" spans="1:5" ht="27.5" x14ac:dyDescent="0.45">
      <c r="A263" s="25" t="s">
        <v>186</v>
      </c>
      <c r="B263" s="26" t="s">
        <v>191</v>
      </c>
      <c r="C263" s="71" t="s">
        <v>54</v>
      </c>
      <c r="D263" s="26" t="s">
        <v>113</v>
      </c>
      <c r="E263" s="72" t="s">
        <v>227</v>
      </c>
    </row>
    <row r="264" spans="1:5" x14ac:dyDescent="0.3">
      <c r="A264" s="29" t="s">
        <v>16</v>
      </c>
      <c r="B264" s="30" t="s">
        <v>61</v>
      </c>
      <c r="C264" s="69">
        <v>1</v>
      </c>
      <c r="D264" s="30">
        <f>ROUND(D288*'Rates.Table'!$E264,2)</f>
        <v>496.79</v>
      </c>
      <c r="E264" s="73">
        <v>0.2</v>
      </c>
    </row>
    <row r="265" spans="1:5" x14ac:dyDescent="0.3">
      <c r="A265" s="29" t="s">
        <v>16</v>
      </c>
      <c r="B265" s="30" t="s">
        <v>62</v>
      </c>
      <c r="C265" s="69">
        <v>1</v>
      </c>
      <c r="D265" s="30">
        <f>ROUND(D289*'Rates.Table'!$E265,2)</f>
        <v>124.86</v>
      </c>
      <c r="E265" s="73">
        <v>0.2</v>
      </c>
    </row>
    <row r="266" spans="1:5" x14ac:dyDescent="0.3">
      <c r="A266" s="29" t="s">
        <v>115</v>
      </c>
      <c r="B266" s="30" t="s">
        <v>61</v>
      </c>
      <c r="C266" s="69">
        <v>1</v>
      </c>
      <c r="D266" s="30">
        <f>ROUND(D290*'Rates.Table'!$E266,2)</f>
        <v>956.13</v>
      </c>
      <c r="E266" s="73">
        <v>0.2</v>
      </c>
    </row>
    <row r="267" spans="1:5" x14ac:dyDescent="0.3">
      <c r="A267" s="29" t="s">
        <v>115</v>
      </c>
      <c r="B267" s="30" t="s">
        <v>62</v>
      </c>
      <c r="C267" s="69">
        <v>1</v>
      </c>
      <c r="D267" s="30">
        <f>ROUND(D291*'Rates.Table'!$E267,2)</f>
        <v>120.58</v>
      </c>
      <c r="E267" s="73">
        <v>0.2</v>
      </c>
    </row>
    <row r="268" spans="1:5" x14ac:dyDescent="0.3">
      <c r="A268" s="29" t="s">
        <v>116</v>
      </c>
      <c r="B268" s="30" t="s">
        <v>61</v>
      </c>
      <c r="C268" s="69">
        <v>1</v>
      </c>
      <c r="D268" s="30">
        <f>ROUND(D292*'Rates.Table'!$E268,2)</f>
        <v>588.25</v>
      </c>
      <c r="E268" s="73">
        <v>0.2</v>
      </c>
    </row>
    <row r="269" spans="1:5" x14ac:dyDescent="0.3">
      <c r="A269" s="29" t="s">
        <v>116</v>
      </c>
      <c r="B269" s="30" t="s">
        <v>62</v>
      </c>
      <c r="C269" s="69">
        <v>1</v>
      </c>
      <c r="D269" s="30">
        <f>ROUND(D293*'Rates.Table'!$E269,2)</f>
        <v>72.2</v>
      </c>
      <c r="E269" s="73">
        <v>0.2</v>
      </c>
    </row>
    <row r="270" spans="1:5" x14ac:dyDescent="0.3">
      <c r="A270" s="29" t="s">
        <v>16</v>
      </c>
      <c r="B270" s="30" t="s">
        <v>61</v>
      </c>
      <c r="C270" s="69">
        <v>2</v>
      </c>
      <c r="D270" s="30">
        <f>ROUND(D288*'Rates.Table'!$E270,2)</f>
        <v>993.58</v>
      </c>
      <c r="E270" s="73">
        <v>0.4</v>
      </c>
    </row>
    <row r="271" spans="1:5" x14ac:dyDescent="0.3">
      <c r="A271" s="29" t="s">
        <v>16</v>
      </c>
      <c r="B271" s="30" t="s">
        <v>62</v>
      </c>
      <c r="C271" s="69">
        <v>2</v>
      </c>
      <c r="D271" s="30">
        <f>ROUND(D289*'Rates.Table'!$E271,2)</f>
        <v>249.71</v>
      </c>
      <c r="E271" s="73">
        <v>0.4</v>
      </c>
    </row>
    <row r="272" spans="1:5" x14ac:dyDescent="0.3">
      <c r="A272" s="29" t="s">
        <v>115</v>
      </c>
      <c r="B272" s="30" t="s">
        <v>61</v>
      </c>
      <c r="C272" s="69">
        <v>2</v>
      </c>
      <c r="D272" s="30">
        <f>ROUND(D290*'Rates.Table'!$E272,2)</f>
        <v>1912.26</v>
      </c>
      <c r="E272" s="73">
        <v>0.4</v>
      </c>
    </row>
    <row r="273" spans="1:5" x14ac:dyDescent="0.3">
      <c r="A273" s="29" t="s">
        <v>115</v>
      </c>
      <c r="B273" s="30" t="s">
        <v>62</v>
      </c>
      <c r="C273" s="69">
        <v>2</v>
      </c>
      <c r="D273" s="30">
        <f>ROUND(D291*'Rates.Table'!$E273,2)</f>
        <v>241.16</v>
      </c>
      <c r="E273" s="73">
        <v>0.4</v>
      </c>
    </row>
    <row r="274" spans="1:5" x14ac:dyDescent="0.3">
      <c r="A274" s="29" t="s">
        <v>116</v>
      </c>
      <c r="B274" s="30" t="s">
        <v>61</v>
      </c>
      <c r="C274" s="69">
        <v>2</v>
      </c>
      <c r="D274" s="30">
        <f>ROUND(D292*'Rates.Table'!$E274,2)</f>
        <v>1176.51</v>
      </c>
      <c r="E274" s="73">
        <v>0.4</v>
      </c>
    </row>
    <row r="275" spans="1:5" x14ac:dyDescent="0.3">
      <c r="A275" s="29" t="s">
        <v>116</v>
      </c>
      <c r="B275" s="30" t="s">
        <v>62</v>
      </c>
      <c r="C275" s="69">
        <v>2</v>
      </c>
      <c r="D275" s="30">
        <f>ROUND(D293*'Rates.Table'!$E275,2)</f>
        <v>144.4</v>
      </c>
      <c r="E275" s="73">
        <v>0.4</v>
      </c>
    </row>
    <row r="276" spans="1:5" x14ac:dyDescent="0.3">
      <c r="A276" s="29" t="s">
        <v>16</v>
      </c>
      <c r="B276" s="30" t="s">
        <v>61</v>
      </c>
      <c r="C276" s="69">
        <v>3</v>
      </c>
      <c r="D276" s="30">
        <f>ROUND(D288*'Rates.Table'!$E276,2)</f>
        <v>1490.36</v>
      </c>
      <c r="E276" s="73">
        <v>0.6</v>
      </c>
    </row>
    <row r="277" spans="1:5" x14ac:dyDescent="0.3">
      <c r="A277" s="29" t="s">
        <v>16</v>
      </c>
      <c r="B277" s="30" t="s">
        <v>62</v>
      </c>
      <c r="C277" s="69">
        <v>3</v>
      </c>
      <c r="D277" s="30">
        <f>ROUND(D289*'Rates.Table'!$E277,2)</f>
        <v>374.57</v>
      </c>
      <c r="E277" s="73">
        <v>0.6</v>
      </c>
    </row>
    <row r="278" spans="1:5" x14ac:dyDescent="0.3">
      <c r="A278" s="29" t="s">
        <v>115</v>
      </c>
      <c r="B278" s="30" t="s">
        <v>61</v>
      </c>
      <c r="C278" s="69">
        <v>3</v>
      </c>
      <c r="D278" s="30">
        <f>ROUND(D290*'Rates.Table'!$E278,2)</f>
        <v>2868.39</v>
      </c>
      <c r="E278" s="73">
        <v>0.6</v>
      </c>
    </row>
    <row r="279" spans="1:5" x14ac:dyDescent="0.3">
      <c r="A279" s="29" t="s">
        <v>115</v>
      </c>
      <c r="B279" s="30" t="s">
        <v>62</v>
      </c>
      <c r="C279" s="69">
        <v>3</v>
      </c>
      <c r="D279" s="30">
        <f>ROUND(D291*'Rates.Table'!$E279,2)</f>
        <v>361.75</v>
      </c>
      <c r="E279" s="73">
        <v>0.6</v>
      </c>
    </row>
    <row r="280" spans="1:5" x14ac:dyDescent="0.3">
      <c r="A280" s="29" t="s">
        <v>116</v>
      </c>
      <c r="B280" s="30" t="s">
        <v>61</v>
      </c>
      <c r="C280" s="69">
        <v>3</v>
      </c>
      <c r="D280" s="30">
        <f>ROUND(D292*'Rates.Table'!$E280,2)</f>
        <v>1764.76</v>
      </c>
      <c r="E280" s="73">
        <v>0.6</v>
      </c>
    </row>
    <row r="281" spans="1:5" x14ac:dyDescent="0.3">
      <c r="A281" s="29" t="s">
        <v>116</v>
      </c>
      <c r="B281" s="30" t="s">
        <v>62</v>
      </c>
      <c r="C281" s="69">
        <v>3</v>
      </c>
      <c r="D281" s="30">
        <f>ROUND(D293*'Rates.Table'!$E281,2)</f>
        <v>216.61</v>
      </c>
      <c r="E281" s="73">
        <v>0.6</v>
      </c>
    </row>
    <row r="282" spans="1:5" x14ac:dyDescent="0.3">
      <c r="A282" s="29" t="s">
        <v>16</v>
      </c>
      <c r="B282" s="30" t="s">
        <v>61</v>
      </c>
      <c r="C282" s="69">
        <v>4</v>
      </c>
      <c r="D282" s="30">
        <f>ROUND(D288*'Rates.Table'!$E282,2)</f>
        <v>1987.15</v>
      </c>
      <c r="E282" s="73">
        <v>0.8</v>
      </c>
    </row>
    <row r="283" spans="1:5" x14ac:dyDescent="0.3">
      <c r="A283" s="29" t="s">
        <v>16</v>
      </c>
      <c r="B283" s="30" t="s">
        <v>62</v>
      </c>
      <c r="C283" s="69">
        <v>4</v>
      </c>
      <c r="D283" s="30">
        <f>ROUND(D289*'Rates.Table'!$E283,2)</f>
        <v>499.42</v>
      </c>
      <c r="E283" s="73">
        <v>0.8</v>
      </c>
    </row>
    <row r="284" spans="1:5" x14ac:dyDescent="0.3">
      <c r="A284" s="29" t="s">
        <v>115</v>
      </c>
      <c r="B284" s="30" t="s">
        <v>61</v>
      </c>
      <c r="C284" s="69">
        <v>4</v>
      </c>
      <c r="D284" s="30">
        <f>ROUND(D290*'Rates.Table'!$E284,2)</f>
        <v>3824.52</v>
      </c>
      <c r="E284" s="73">
        <v>0.8</v>
      </c>
    </row>
    <row r="285" spans="1:5" x14ac:dyDescent="0.3">
      <c r="A285" s="29" t="s">
        <v>115</v>
      </c>
      <c r="B285" s="30" t="s">
        <v>62</v>
      </c>
      <c r="C285" s="69">
        <v>4</v>
      </c>
      <c r="D285" s="30">
        <f>ROUND(D291*'Rates.Table'!$E285,2)</f>
        <v>482.33</v>
      </c>
      <c r="E285" s="73">
        <v>0.8</v>
      </c>
    </row>
    <row r="286" spans="1:5" x14ac:dyDescent="0.3">
      <c r="A286" s="29" t="s">
        <v>116</v>
      </c>
      <c r="B286" s="30" t="s">
        <v>61</v>
      </c>
      <c r="C286" s="69">
        <v>4</v>
      </c>
      <c r="D286" s="30">
        <f>ROUND(D292*'Rates.Table'!$E286,2)</f>
        <v>2353.02</v>
      </c>
      <c r="E286" s="73">
        <v>0.8</v>
      </c>
    </row>
    <row r="287" spans="1:5" x14ac:dyDescent="0.3">
      <c r="A287" s="29" t="s">
        <v>116</v>
      </c>
      <c r="B287" s="30" t="s">
        <v>62</v>
      </c>
      <c r="C287" s="69">
        <v>4</v>
      </c>
      <c r="D287" s="30">
        <f>ROUND(D293*'Rates.Table'!$E287,2)</f>
        <v>288.81</v>
      </c>
      <c r="E287" s="73">
        <v>0.8</v>
      </c>
    </row>
    <row r="288" spans="1:5" x14ac:dyDescent="0.3">
      <c r="A288" s="67" t="s">
        <v>16</v>
      </c>
      <c r="B288" s="68" t="s">
        <v>61</v>
      </c>
      <c r="C288" s="70">
        <v>5</v>
      </c>
      <c r="D288" s="68">
        <v>2483.94</v>
      </c>
      <c r="E288" s="74">
        <v>1</v>
      </c>
    </row>
    <row r="289" spans="1:5" x14ac:dyDescent="0.3">
      <c r="A289" s="67" t="s">
        <v>16</v>
      </c>
      <c r="B289" s="68" t="s">
        <v>62</v>
      </c>
      <c r="C289" s="70">
        <v>5</v>
      </c>
      <c r="D289" s="68">
        <v>624.28</v>
      </c>
      <c r="E289" s="74">
        <v>1</v>
      </c>
    </row>
    <row r="290" spans="1:5" x14ac:dyDescent="0.3">
      <c r="A290" s="67" t="s">
        <v>115</v>
      </c>
      <c r="B290" s="68" t="s">
        <v>61</v>
      </c>
      <c r="C290" s="70">
        <v>5</v>
      </c>
      <c r="D290" s="68">
        <v>4780.6499999999996</v>
      </c>
      <c r="E290" s="74">
        <v>1</v>
      </c>
    </row>
    <row r="291" spans="1:5" x14ac:dyDescent="0.3">
      <c r="A291" s="67" t="s">
        <v>115</v>
      </c>
      <c r="B291" s="68" t="s">
        <v>62</v>
      </c>
      <c r="C291" s="70">
        <v>5</v>
      </c>
      <c r="D291" s="68">
        <v>602.91</v>
      </c>
      <c r="E291" s="74">
        <v>1</v>
      </c>
    </row>
    <row r="292" spans="1:5" x14ac:dyDescent="0.3">
      <c r="A292" s="67" t="s">
        <v>116</v>
      </c>
      <c r="B292" s="68" t="s">
        <v>61</v>
      </c>
      <c r="C292" s="70">
        <v>5</v>
      </c>
      <c r="D292" s="68">
        <v>2941.27</v>
      </c>
      <c r="E292" s="74">
        <v>1</v>
      </c>
    </row>
    <row r="293" spans="1:5" x14ac:dyDescent="0.3">
      <c r="A293" s="75" t="s">
        <v>116</v>
      </c>
      <c r="B293" s="76" t="s">
        <v>62</v>
      </c>
      <c r="C293" s="77">
        <v>5</v>
      </c>
      <c r="D293" s="76">
        <v>361.01</v>
      </c>
      <c r="E293" s="78">
        <v>1</v>
      </c>
    </row>
    <row r="303" spans="1:5" ht="14.5" x14ac:dyDescent="0.35">
      <c r="A303" s="5" t="s">
        <v>228</v>
      </c>
      <c r="B303"/>
      <c r="C303"/>
    </row>
    <row r="304" spans="1:5" ht="15" customHeight="1" x14ac:dyDescent="0.3">
      <c r="A304" s="25" t="s">
        <v>111</v>
      </c>
      <c r="B304" s="88" t="s">
        <v>41</v>
      </c>
      <c r="C304" s="89" t="s">
        <v>113</v>
      </c>
    </row>
    <row r="305" spans="1:3" x14ac:dyDescent="0.3">
      <c r="A305" s="90" t="s">
        <v>70</v>
      </c>
      <c r="B305" s="91">
        <v>344</v>
      </c>
      <c r="C305" s="92"/>
    </row>
    <row r="306" spans="1:3" x14ac:dyDescent="0.3">
      <c r="A306" s="93" t="s">
        <v>70</v>
      </c>
      <c r="B306" s="94">
        <v>345</v>
      </c>
      <c r="C306" s="95"/>
    </row>
    <row r="307" spans="1:3" x14ac:dyDescent="0.3">
      <c r="A307" s="93" t="s">
        <v>70</v>
      </c>
      <c r="B307" s="94">
        <v>346</v>
      </c>
      <c r="C307" s="95"/>
    </row>
    <row r="308" spans="1:3" x14ac:dyDescent="0.3">
      <c r="A308" s="93" t="s">
        <v>70</v>
      </c>
      <c r="B308" s="94">
        <v>347</v>
      </c>
      <c r="C308" s="95"/>
    </row>
    <row r="309" spans="1:3" x14ac:dyDescent="0.3">
      <c r="A309" s="93" t="s">
        <v>70</v>
      </c>
      <c r="B309" s="94">
        <v>348</v>
      </c>
      <c r="C309" s="95"/>
    </row>
    <row r="310" spans="1:3" x14ac:dyDescent="0.3">
      <c r="A310" s="93" t="s">
        <v>70</v>
      </c>
      <c r="B310" s="94">
        <v>349</v>
      </c>
      <c r="C310" s="95"/>
    </row>
    <row r="311" spans="1:3" x14ac:dyDescent="0.3">
      <c r="A311" s="93" t="s">
        <v>70</v>
      </c>
      <c r="B311" s="94">
        <v>350</v>
      </c>
      <c r="C311" s="95"/>
    </row>
    <row r="312" spans="1:3" x14ac:dyDescent="0.3">
      <c r="A312" s="93" t="s">
        <v>70</v>
      </c>
      <c r="B312" s="94">
        <v>351</v>
      </c>
      <c r="C312" s="95"/>
    </row>
    <row r="313" spans="1:3" x14ac:dyDescent="0.3">
      <c r="A313" s="93" t="s">
        <v>70</v>
      </c>
      <c r="B313" s="94">
        <v>352</v>
      </c>
      <c r="C313" s="95"/>
    </row>
    <row r="314" spans="1:3" x14ac:dyDescent="0.3">
      <c r="A314" s="93" t="s">
        <v>70</v>
      </c>
      <c r="B314" s="94">
        <v>353</v>
      </c>
      <c r="C314" s="95"/>
    </row>
    <row r="315" spans="1:3" x14ac:dyDescent="0.3">
      <c r="A315" s="93" t="s">
        <v>70</v>
      </c>
      <c r="B315" s="94">
        <v>354</v>
      </c>
      <c r="C315" s="95"/>
    </row>
    <row r="316" spans="1:3" x14ac:dyDescent="0.3">
      <c r="A316" s="93" t="s">
        <v>70</v>
      </c>
      <c r="B316" s="94">
        <v>355</v>
      </c>
      <c r="C316" s="95"/>
    </row>
    <row r="317" spans="1:3" x14ac:dyDescent="0.3">
      <c r="A317" s="93" t="s">
        <v>70</v>
      </c>
      <c r="B317" s="94">
        <v>356</v>
      </c>
      <c r="C317" s="95"/>
    </row>
    <row r="318" spans="1:3" x14ac:dyDescent="0.3">
      <c r="A318" s="93" t="s">
        <v>70</v>
      </c>
      <c r="B318" s="94">
        <v>357</v>
      </c>
      <c r="C318" s="95"/>
    </row>
    <row r="319" spans="1:3" x14ac:dyDescent="0.3">
      <c r="A319" s="93" t="s">
        <v>70</v>
      </c>
      <c r="B319" s="94">
        <v>358</v>
      </c>
      <c r="C319" s="95"/>
    </row>
    <row r="320" spans="1:3" x14ac:dyDescent="0.3">
      <c r="A320" s="93" t="s">
        <v>70</v>
      </c>
      <c r="B320" s="94">
        <v>359</v>
      </c>
      <c r="C320" s="95"/>
    </row>
    <row r="321" spans="1:3" x14ac:dyDescent="0.3">
      <c r="A321" s="93" t="s">
        <v>70</v>
      </c>
      <c r="B321" s="94">
        <v>360</v>
      </c>
      <c r="C321" s="95"/>
    </row>
    <row r="322" spans="1:3" x14ac:dyDescent="0.3">
      <c r="A322" s="93" t="s">
        <v>70</v>
      </c>
      <c r="B322" s="94">
        <v>361</v>
      </c>
      <c r="C322" s="95"/>
    </row>
    <row r="323" spans="1:3" x14ac:dyDescent="0.3">
      <c r="A323" s="93" t="s">
        <v>70</v>
      </c>
      <c r="B323" s="94">
        <v>362</v>
      </c>
      <c r="C323" s="95"/>
    </row>
    <row r="324" spans="1:3" x14ac:dyDescent="0.3">
      <c r="A324" s="93" t="s">
        <v>70</v>
      </c>
      <c r="B324" s="94">
        <v>363</v>
      </c>
      <c r="C324" s="95"/>
    </row>
    <row r="325" spans="1:3" x14ac:dyDescent="0.3">
      <c r="A325" s="93" t="s">
        <v>70</v>
      </c>
      <c r="B325" s="94">
        <v>364</v>
      </c>
      <c r="C325" s="95"/>
    </row>
    <row r="326" spans="1:3" x14ac:dyDescent="0.3">
      <c r="A326" s="93" t="s">
        <v>70</v>
      </c>
      <c r="B326" s="94">
        <v>365</v>
      </c>
      <c r="C326" s="95"/>
    </row>
    <row r="327" spans="1:3" x14ac:dyDescent="0.3">
      <c r="A327" s="93" t="s">
        <v>70</v>
      </c>
      <c r="B327" s="94">
        <v>366</v>
      </c>
      <c r="C327" s="95"/>
    </row>
    <row r="328" spans="1:3" x14ac:dyDescent="0.3">
      <c r="A328" s="93" t="s">
        <v>70</v>
      </c>
      <c r="B328" s="94">
        <v>367</v>
      </c>
      <c r="C328" s="95"/>
    </row>
    <row r="329" spans="1:3" x14ac:dyDescent="0.3">
      <c r="A329" s="93" t="s">
        <v>70</v>
      </c>
      <c r="B329" s="94">
        <v>368</v>
      </c>
      <c r="C329" s="95"/>
    </row>
    <row r="330" spans="1:3" x14ac:dyDescent="0.3">
      <c r="A330" s="93" t="s">
        <v>70</v>
      </c>
      <c r="B330" s="94">
        <v>369</v>
      </c>
      <c r="C330" s="95"/>
    </row>
    <row r="331" spans="1:3" x14ac:dyDescent="0.3">
      <c r="A331" s="93" t="s">
        <v>70</v>
      </c>
      <c r="B331" s="94">
        <v>370</v>
      </c>
      <c r="C331" s="95"/>
    </row>
    <row r="332" spans="1:3" x14ac:dyDescent="0.3">
      <c r="A332" s="93" t="s">
        <v>70</v>
      </c>
      <c r="B332" s="94">
        <v>371</v>
      </c>
      <c r="C332" s="95"/>
    </row>
    <row r="333" spans="1:3" x14ac:dyDescent="0.3">
      <c r="A333" s="93" t="s">
        <v>70</v>
      </c>
      <c r="B333" s="94">
        <v>372</v>
      </c>
      <c r="C333" s="95"/>
    </row>
    <row r="334" spans="1:3" x14ac:dyDescent="0.3">
      <c r="A334" s="93" t="s">
        <v>70</v>
      </c>
      <c r="B334" s="94">
        <v>373</v>
      </c>
      <c r="C334" s="95"/>
    </row>
    <row r="335" spans="1:3" x14ac:dyDescent="0.3">
      <c r="A335" s="93" t="s">
        <v>70</v>
      </c>
      <c r="B335" s="94">
        <v>374</v>
      </c>
      <c r="C335" s="95"/>
    </row>
    <row r="336" spans="1:3" x14ac:dyDescent="0.3">
      <c r="A336" s="93" t="s">
        <v>70</v>
      </c>
      <c r="B336" s="94">
        <v>375</v>
      </c>
      <c r="C336" s="95"/>
    </row>
    <row r="337" spans="1:3" x14ac:dyDescent="0.3">
      <c r="A337" s="93" t="s">
        <v>70</v>
      </c>
      <c r="B337" s="94">
        <v>376</v>
      </c>
      <c r="C337" s="95"/>
    </row>
    <row r="338" spans="1:3" x14ac:dyDescent="0.3">
      <c r="A338" s="93" t="s">
        <v>70</v>
      </c>
      <c r="B338" s="94">
        <v>377</v>
      </c>
      <c r="C338" s="95"/>
    </row>
    <row r="339" spans="1:3" x14ac:dyDescent="0.3">
      <c r="A339" s="93" t="s">
        <v>70</v>
      </c>
      <c r="B339" s="94">
        <v>378</v>
      </c>
      <c r="C339" s="95"/>
    </row>
    <row r="340" spans="1:3" x14ac:dyDescent="0.3">
      <c r="A340" s="93" t="s">
        <v>70</v>
      </c>
      <c r="B340" s="94">
        <v>379</v>
      </c>
      <c r="C340" s="95"/>
    </row>
    <row r="341" spans="1:3" x14ac:dyDescent="0.3">
      <c r="A341" s="93" t="s">
        <v>70</v>
      </c>
      <c r="B341" s="94">
        <v>380</v>
      </c>
      <c r="C341" s="95">
        <v>1.07</v>
      </c>
    </row>
    <row r="342" spans="1:3" x14ac:dyDescent="0.3">
      <c r="A342" s="93" t="s">
        <v>70</v>
      </c>
      <c r="B342" s="94">
        <v>381</v>
      </c>
      <c r="C342" s="95">
        <v>2.12</v>
      </c>
    </row>
    <row r="343" spans="1:3" x14ac:dyDescent="0.3">
      <c r="A343" s="93" t="s">
        <v>70</v>
      </c>
      <c r="B343" s="94">
        <v>382</v>
      </c>
      <c r="C343" s="95">
        <v>3.2</v>
      </c>
    </row>
    <row r="344" spans="1:3" x14ac:dyDescent="0.3">
      <c r="A344" s="93" t="s">
        <v>70</v>
      </c>
      <c r="B344" s="94">
        <v>383</v>
      </c>
      <c r="C344" s="95">
        <v>4.2699999999999996</v>
      </c>
    </row>
    <row r="345" spans="1:3" x14ac:dyDescent="0.3">
      <c r="A345" s="93" t="s">
        <v>70</v>
      </c>
      <c r="B345" s="94">
        <v>384</v>
      </c>
      <c r="C345" s="95">
        <v>5.36</v>
      </c>
    </row>
    <row r="346" spans="1:3" x14ac:dyDescent="0.3">
      <c r="A346" s="93" t="s">
        <v>70</v>
      </c>
      <c r="B346" s="94">
        <v>385</v>
      </c>
      <c r="C346" s="95">
        <v>6.45</v>
      </c>
    </row>
    <row r="347" spans="1:3" x14ac:dyDescent="0.3">
      <c r="A347" s="93" t="s">
        <v>70</v>
      </c>
      <c r="B347" s="94">
        <v>386</v>
      </c>
      <c r="C347" s="95">
        <v>7.56</v>
      </c>
    </row>
    <row r="348" spans="1:3" x14ac:dyDescent="0.3">
      <c r="A348" s="93" t="s">
        <v>70</v>
      </c>
      <c r="B348" s="94">
        <v>387</v>
      </c>
      <c r="C348" s="95">
        <v>8.66</v>
      </c>
    </row>
    <row r="349" spans="1:3" x14ac:dyDescent="0.3">
      <c r="A349" s="93" t="s">
        <v>70</v>
      </c>
      <c r="B349" s="94">
        <v>388</v>
      </c>
      <c r="C349" s="95">
        <v>9.81</v>
      </c>
    </row>
    <row r="350" spans="1:3" x14ac:dyDescent="0.3">
      <c r="A350" s="93" t="s">
        <v>70</v>
      </c>
      <c r="B350" s="94">
        <v>389</v>
      </c>
      <c r="C350" s="95">
        <v>10.95</v>
      </c>
    </row>
    <row r="351" spans="1:3" x14ac:dyDescent="0.3">
      <c r="A351" s="93" t="s">
        <v>70</v>
      </c>
      <c r="B351" s="94">
        <v>390</v>
      </c>
      <c r="C351" s="95">
        <v>12.11</v>
      </c>
    </row>
    <row r="352" spans="1:3" x14ac:dyDescent="0.3">
      <c r="A352" s="93" t="s">
        <v>70</v>
      </c>
      <c r="B352" s="94">
        <v>391</v>
      </c>
      <c r="C352" s="95">
        <v>13.3</v>
      </c>
    </row>
    <row r="353" spans="1:3" x14ac:dyDescent="0.3">
      <c r="A353" s="93" t="s">
        <v>70</v>
      </c>
      <c r="B353" s="94">
        <v>392</v>
      </c>
      <c r="C353" s="95">
        <v>14.5</v>
      </c>
    </row>
    <row r="354" spans="1:3" x14ac:dyDescent="0.3">
      <c r="A354" s="93" t="s">
        <v>70</v>
      </c>
      <c r="B354" s="94">
        <v>393</v>
      </c>
      <c r="C354" s="95">
        <v>15.73</v>
      </c>
    </row>
    <row r="355" spans="1:3" x14ac:dyDescent="0.3">
      <c r="A355" s="93" t="s">
        <v>70</v>
      </c>
      <c r="B355" s="94">
        <v>394</v>
      </c>
      <c r="C355" s="95">
        <v>16.97</v>
      </c>
    </row>
    <row r="356" spans="1:3" x14ac:dyDescent="0.3">
      <c r="A356" s="93" t="s">
        <v>70</v>
      </c>
      <c r="B356" s="94">
        <v>395</v>
      </c>
      <c r="C356" s="95">
        <v>18.25</v>
      </c>
    </row>
    <row r="357" spans="1:3" x14ac:dyDescent="0.3">
      <c r="A357" s="93" t="s">
        <v>70</v>
      </c>
      <c r="B357" s="94">
        <v>396</v>
      </c>
      <c r="C357" s="95">
        <v>19.54</v>
      </c>
    </row>
    <row r="358" spans="1:3" x14ac:dyDescent="0.3">
      <c r="A358" s="93" t="s">
        <v>70</v>
      </c>
      <c r="B358" s="94">
        <v>397</v>
      </c>
      <c r="C358" s="95">
        <v>20.88</v>
      </c>
    </row>
    <row r="359" spans="1:3" x14ac:dyDescent="0.3">
      <c r="A359" s="93" t="s">
        <v>70</v>
      </c>
      <c r="B359" s="94">
        <v>398</v>
      </c>
      <c r="C359" s="95">
        <v>22.23</v>
      </c>
    </row>
    <row r="360" spans="1:3" x14ac:dyDescent="0.3">
      <c r="A360" s="93" t="s">
        <v>70</v>
      </c>
      <c r="B360" s="94">
        <v>399</v>
      </c>
      <c r="C360" s="95">
        <v>23.62</v>
      </c>
    </row>
    <row r="361" spans="1:3" x14ac:dyDescent="0.3">
      <c r="A361" s="93" t="s">
        <v>70</v>
      </c>
      <c r="B361" s="94">
        <v>400</v>
      </c>
      <c r="C361" s="95">
        <v>25.03</v>
      </c>
    </row>
    <row r="362" spans="1:3" x14ac:dyDescent="0.3">
      <c r="A362" s="93" t="s">
        <v>70</v>
      </c>
      <c r="B362" s="94">
        <v>401</v>
      </c>
      <c r="C362" s="95">
        <v>26.49</v>
      </c>
    </row>
    <row r="363" spans="1:3" x14ac:dyDescent="0.3">
      <c r="A363" s="93" t="s">
        <v>70</v>
      </c>
      <c r="B363" s="94">
        <v>402</v>
      </c>
      <c r="C363" s="95">
        <v>27.99</v>
      </c>
    </row>
    <row r="364" spans="1:3" x14ac:dyDescent="0.3">
      <c r="A364" s="93" t="s">
        <v>70</v>
      </c>
      <c r="B364" s="94">
        <v>403</v>
      </c>
      <c r="C364" s="95">
        <v>29.51</v>
      </c>
    </row>
    <row r="365" spans="1:3" x14ac:dyDescent="0.3">
      <c r="A365" s="93" t="s">
        <v>70</v>
      </c>
      <c r="B365" s="94">
        <v>404</v>
      </c>
      <c r="C365" s="95">
        <v>31.08</v>
      </c>
    </row>
    <row r="366" spans="1:3" x14ac:dyDescent="0.3">
      <c r="A366" s="93" t="s">
        <v>70</v>
      </c>
      <c r="B366" s="94">
        <v>405</v>
      </c>
      <c r="C366" s="95">
        <v>32.69</v>
      </c>
    </row>
    <row r="367" spans="1:3" x14ac:dyDescent="0.3">
      <c r="A367" s="93" t="s">
        <v>70</v>
      </c>
      <c r="B367" s="94">
        <v>406</v>
      </c>
      <c r="C367" s="95">
        <v>34.35</v>
      </c>
    </row>
    <row r="368" spans="1:3" x14ac:dyDescent="0.3">
      <c r="A368" s="93" t="s">
        <v>70</v>
      </c>
      <c r="B368" s="94">
        <v>407</v>
      </c>
      <c r="C368" s="95">
        <v>36.049999999999997</v>
      </c>
    </row>
    <row r="369" spans="1:3" x14ac:dyDescent="0.3">
      <c r="A369" s="93" t="s">
        <v>70</v>
      </c>
      <c r="B369" s="94">
        <v>408</v>
      </c>
      <c r="C369" s="95">
        <v>37.799999999999997</v>
      </c>
    </row>
    <row r="370" spans="1:3" x14ac:dyDescent="0.3">
      <c r="A370" s="93" t="s">
        <v>70</v>
      </c>
      <c r="B370" s="94">
        <v>409</v>
      </c>
      <c r="C370" s="95">
        <v>39.6</v>
      </c>
    </row>
    <row r="371" spans="1:3" x14ac:dyDescent="0.3">
      <c r="A371" s="93" t="s">
        <v>70</v>
      </c>
      <c r="B371" s="94">
        <v>410</v>
      </c>
      <c r="C371" s="95">
        <v>41.47</v>
      </c>
    </row>
    <row r="372" spans="1:3" x14ac:dyDescent="0.3">
      <c r="A372" s="93" t="s">
        <v>70</v>
      </c>
      <c r="B372" s="94">
        <v>411</v>
      </c>
      <c r="C372" s="95">
        <v>43.37</v>
      </c>
    </row>
    <row r="373" spans="1:3" x14ac:dyDescent="0.3">
      <c r="A373" s="93" t="s">
        <v>70</v>
      </c>
      <c r="B373" s="94">
        <v>412</v>
      </c>
      <c r="C373" s="95">
        <v>45.35</v>
      </c>
    </row>
    <row r="374" spans="1:3" x14ac:dyDescent="0.3">
      <c r="A374" s="93" t="s">
        <v>70</v>
      </c>
      <c r="B374" s="94">
        <v>413</v>
      </c>
      <c r="C374" s="95">
        <v>47.38</v>
      </c>
    </row>
    <row r="375" spans="1:3" x14ac:dyDescent="0.3">
      <c r="A375" s="93" t="s">
        <v>70</v>
      </c>
      <c r="B375" s="94">
        <v>414</v>
      </c>
      <c r="C375" s="95">
        <v>49.46</v>
      </c>
    </row>
    <row r="376" spans="1:3" x14ac:dyDescent="0.3">
      <c r="A376" s="93" t="s">
        <v>70</v>
      </c>
      <c r="B376" s="94">
        <v>415</v>
      </c>
      <c r="C376" s="95">
        <v>51.61</v>
      </c>
    </row>
    <row r="377" spans="1:3" x14ac:dyDescent="0.3">
      <c r="A377" s="93" t="s">
        <v>70</v>
      </c>
      <c r="B377" s="94">
        <v>416</v>
      </c>
      <c r="C377" s="95">
        <v>53.85</v>
      </c>
    </row>
    <row r="378" spans="1:3" x14ac:dyDescent="0.3">
      <c r="A378" s="93" t="s">
        <v>70</v>
      </c>
      <c r="B378" s="94">
        <v>417</v>
      </c>
      <c r="C378" s="95">
        <v>56.14</v>
      </c>
    </row>
    <row r="379" spans="1:3" x14ac:dyDescent="0.3">
      <c r="A379" s="93" t="s">
        <v>70</v>
      </c>
      <c r="B379" s="94">
        <v>418</v>
      </c>
      <c r="C379" s="95">
        <v>58.51</v>
      </c>
    </row>
    <row r="380" spans="1:3" x14ac:dyDescent="0.3">
      <c r="A380" s="93" t="s">
        <v>70</v>
      </c>
      <c r="B380" s="94">
        <v>419</v>
      </c>
      <c r="C380" s="95">
        <v>60.96</v>
      </c>
    </row>
    <row r="381" spans="1:3" x14ac:dyDescent="0.3">
      <c r="A381" s="93" t="s">
        <v>70</v>
      </c>
      <c r="B381" s="94">
        <v>420</v>
      </c>
      <c r="C381" s="95">
        <v>63.48</v>
      </c>
    </row>
    <row r="382" spans="1:3" x14ac:dyDescent="0.3">
      <c r="A382" s="93" t="s">
        <v>70</v>
      </c>
      <c r="B382" s="94">
        <v>421</v>
      </c>
      <c r="C382" s="95">
        <v>66.08</v>
      </c>
    </row>
    <row r="383" spans="1:3" x14ac:dyDescent="0.3">
      <c r="A383" s="93" t="s">
        <v>70</v>
      </c>
      <c r="B383" s="94">
        <v>422</v>
      </c>
      <c r="C383" s="95">
        <v>68.77</v>
      </c>
    </row>
    <row r="384" spans="1:3" x14ac:dyDescent="0.3">
      <c r="A384" s="93" t="s">
        <v>70</v>
      </c>
      <c r="B384" s="94">
        <v>423</v>
      </c>
      <c r="C384" s="95">
        <v>71.55</v>
      </c>
    </row>
    <row r="385" spans="1:3" x14ac:dyDescent="0.3">
      <c r="A385" s="93" t="s">
        <v>70</v>
      </c>
      <c r="B385" s="94">
        <v>424</v>
      </c>
      <c r="C385" s="95">
        <v>74.41</v>
      </c>
    </row>
    <row r="386" spans="1:3" x14ac:dyDescent="0.3">
      <c r="A386" s="93" t="s">
        <v>70</v>
      </c>
      <c r="B386" s="94">
        <v>425</v>
      </c>
      <c r="C386" s="95">
        <v>77.37</v>
      </c>
    </row>
    <row r="387" spans="1:3" x14ac:dyDescent="0.3">
      <c r="A387" s="93" t="s">
        <v>70</v>
      </c>
      <c r="B387" s="94">
        <v>426</v>
      </c>
      <c r="C387" s="95">
        <v>80.430000000000007</v>
      </c>
    </row>
    <row r="388" spans="1:3" x14ac:dyDescent="0.3">
      <c r="A388" s="93" t="s">
        <v>70</v>
      </c>
      <c r="B388" s="94">
        <v>427</v>
      </c>
      <c r="C388" s="95">
        <v>83.58</v>
      </c>
    </row>
    <row r="389" spans="1:3" x14ac:dyDescent="0.3">
      <c r="A389" s="93" t="s">
        <v>70</v>
      </c>
      <c r="B389" s="94">
        <v>428</v>
      </c>
      <c r="C389" s="95">
        <v>86.85</v>
      </c>
    </row>
    <row r="390" spans="1:3" x14ac:dyDescent="0.3">
      <c r="A390" s="93" t="s">
        <v>70</v>
      </c>
      <c r="B390" s="94">
        <v>429</v>
      </c>
      <c r="C390" s="95">
        <v>90.22</v>
      </c>
    </row>
    <row r="391" spans="1:3" x14ac:dyDescent="0.3">
      <c r="A391" s="93" t="s">
        <v>70</v>
      </c>
      <c r="B391" s="94">
        <v>430</v>
      </c>
      <c r="C391" s="95">
        <v>93.7</v>
      </c>
    </row>
    <row r="392" spans="1:3" x14ac:dyDescent="0.3">
      <c r="A392" s="93" t="s">
        <v>70</v>
      </c>
      <c r="B392" s="94">
        <v>431</v>
      </c>
      <c r="C392" s="95">
        <v>97.28</v>
      </c>
    </row>
    <row r="393" spans="1:3" x14ac:dyDescent="0.3">
      <c r="A393" s="93" t="s">
        <v>70</v>
      </c>
      <c r="B393" s="94">
        <v>432</v>
      </c>
      <c r="C393" s="95">
        <v>101</v>
      </c>
    </row>
    <row r="394" spans="1:3" x14ac:dyDescent="0.3">
      <c r="A394" s="93" t="s">
        <v>70</v>
      </c>
      <c r="B394" s="94">
        <v>433</v>
      </c>
      <c r="C394" s="95">
        <v>104.82</v>
      </c>
    </row>
    <row r="395" spans="1:3" x14ac:dyDescent="0.3">
      <c r="A395" s="93" t="s">
        <v>70</v>
      </c>
      <c r="B395" s="94">
        <v>434</v>
      </c>
      <c r="C395" s="95">
        <v>108.77</v>
      </c>
    </row>
    <row r="396" spans="1:3" x14ac:dyDescent="0.3">
      <c r="A396" s="93" t="s">
        <v>70</v>
      </c>
      <c r="B396" s="94">
        <v>435</v>
      </c>
      <c r="C396" s="95">
        <v>112.86</v>
      </c>
    </row>
    <row r="397" spans="1:3" x14ac:dyDescent="0.3">
      <c r="A397" s="93" t="s">
        <v>70</v>
      </c>
      <c r="B397" s="94">
        <v>436</v>
      </c>
      <c r="C397" s="95">
        <v>117.05</v>
      </c>
    </row>
    <row r="398" spans="1:3" x14ac:dyDescent="0.3">
      <c r="A398" s="93" t="s">
        <v>70</v>
      </c>
      <c r="B398" s="94">
        <v>437</v>
      </c>
      <c r="C398" s="95">
        <v>121.41</v>
      </c>
    </row>
    <row r="399" spans="1:3" x14ac:dyDescent="0.3">
      <c r="A399" s="93" t="s">
        <v>70</v>
      </c>
      <c r="B399" s="94">
        <v>438</v>
      </c>
      <c r="C399" s="95">
        <v>125.88</v>
      </c>
    </row>
    <row r="400" spans="1:3" x14ac:dyDescent="0.3">
      <c r="A400" s="93" t="s">
        <v>70</v>
      </c>
      <c r="B400" s="94">
        <v>439</v>
      </c>
      <c r="C400" s="95">
        <v>130.49</v>
      </c>
    </row>
    <row r="401" spans="1:3" x14ac:dyDescent="0.3">
      <c r="A401" s="93" t="s">
        <v>70</v>
      </c>
      <c r="B401" s="94">
        <v>440</v>
      </c>
      <c r="C401" s="95">
        <v>135.26</v>
      </c>
    </row>
    <row r="402" spans="1:3" x14ac:dyDescent="0.3">
      <c r="A402" s="93" t="s">
        <v>70</v>
      </c>
      <c r="B402" s="94">
        <v>441</v>
      </c>
      <c r="C402" s="95">
        <v>140.16999999999999</v>
      </c>
    </row>
    <row r="403" spans="1:3" x14ac:dyDescent="0.3">
      <c r="A403" s="93" t="s">
        <v>70</v>
      </c>
      <c r="B403" s="94">
        <v>442</v>
      </c>
      <c r="C403" s="95">
        <v>145.24</v>
      </c>
    </row>
    <row r="404" spans="1:3" x14ac:dyDescent="0.3">
      <c r="A404" s="93" t="s">
        <v>70</v>
      </c>
      <c r="B404" s="94">
        <v>443</v>
      </c>
      <c r="C404" s="95">
        <v>150.44999999999999</v>
      </c>
    </row>
    <row r="405" spans="1:3" x14ac:dyDescent="0.3">
      <c r="A405" s="93" t="s">
        <v>70</v>
      </c>
      <c r="B405" s="94">
        <v>444</v>
      </c>
      <c r="C405" s="95">
        <v>155.83000000000001</v>
      </c>
    </row>
    <row r="406" spans="1:3" x14ac:dyDescent="0.3">
      <c r="A406" s="93" t="s">
        <v>70</v>
      </c>
      <c r="B406" s="94">
        <v>445</v>
      </c>
      <c r="C406" s="95">
        <v>161.37</v>
      </c>
    </row>
    <row r="407" spans="1:3" x14ac:dyDescent="0.3">
      <c r="A407" s="93" t="s">
        <v>70</v>
      </c>
      <c r="B407" s="94">
        <v>446</v>
      </c>
      <c r="C407" s="95">
        <v>167.06</v>
      </c>
    </row>
    <row r="408" spans="1:3" x14ac:dyDescent="0.3">
      <c r="A408" s="93" t="s">
        <v>70</v>
      </c>
      <c r="B408" s="94">
        <v>447</v>
      </c>
      <c r="C408" s="95">
        <v>172.93</v>
      </c>
    </row>
    <row r="409" spans="1:3" x14ac:dyDescent="0.3">
      <c r="A409" s="93" t="s">
        <v>70</v>
      </c>
      <c r="B409" s="94">
        <v>448</v>
      </c>
      <c r="C409" s="95">
        <v>178.97</v>
      </c>
    </row>
    <row r="410" spans="1:3" x14ac:dyDescent="0.3">
      <c r="A410" s="93" t="s">
        <v>70</v>
      </c>
      <c r="B410" s="94">
        <v>449</v>
      </c>
      <c r="C410" s="95">
        <v>185.17</v>
      </c>
    </row>
    <row r="411" spans="1:3" x14ac:dyDescent="0.3">
      <c r="A411" s="93" t="s">
        <v>70</v>
      </c>
      <c r="B411" s="94">
        <v>450</v>
      </c>
      <c r="C411" s="95">
        <v>191.56</v>
      </c>
    </row>
    <row r="412" spans="1:3" x14ac:dyDescent="0.3">
      <c r="A412" s="93" t="s">
        <v>70</v>
      </c>
      <c r="B412" s="94">
        <v>451</v>
      </c>
      <c r="C412" s="95">
        <v>198.11</v>
      </c>
    </row>
    <row r="413" spans="1:3" x14ac:dyDescent="0.3">
      <c r="A413" s="93" t="s">
        <v>70</v>
      </c>
      <c r="B413" s="94">
        <v>452</v>
      </c>
      <c r="C413" s="95">
        <v>204.86</v>
      </c>
    </row>
    <row r="414" spans="1:3" x14ac:dyDescent="0.3">
      <c r="A414" s="93" t="s">
        <v>70</v>
      </c>
      <c r="B414" s="94">
        <v>453</v>
      </c>
      <c r="C414" s="95">
        <v>211.77</v>
      </c>
    </row>
    <row r="415" spans="1:3" x14ac:dyDescent="0.3">
      <c r="A415" s="93" t="s">
        <v>70</v>
      </c>
      <c r="B415" s="94">
        <v>454</v>
      </c>
      <c r="C415" s="95">
        <v>218.89</v>
      </c>
    </row>
    <row r="416" spans="1:3" x14ac:dyDescent="0.3">
      <c r="A416" s="93" t="s">
        <v>70</v>
      </c>
      <c r="B416" s="94">
        <v>455</v>
      </c>
      <c r="C416" s="95">
        <v>226.17</v>
      </c>
    </row>
    <row r="417" spans="1:3" x14ac:dyDescent="0.3">
      <c r="A417" s="93" t="s">
        <v>70</v>
      </c>
      <c r="B417" s="94">
        <v>456</v>
      </c>
      <c r="C417" s="95">
        <v>233.65</v>
      </c>
    </row>
    <row r="418" spans="1:3" x14ac:dyDescent="0.3">
      <c r="A418" s="93" t="s">
        <v>70</v>
      </c>
      <c r="B418" s="94">
        <v>457</v>
      </c>
      <c r="C418" s="95">
        <v>241.31</v>
      </c>
    </row>
    <row r="419" spans="1:3" x14ac:dyDescent="0.3">
      <c r="A419" s="93" t="s">
        <v>70</v>
      </c>
      <c r="B419" s="94">
        <v>458</v>
      </c>
      <c r="C419" s="95">
        <v>249.16</v>
      </c>
    </row>
    <row r="420" spans="1:3" x14ac:dyDescent="0.3">
      <c r="A420" s="93" t="s">
        <v>70</v>
      </c>
      <c r="B420" s="94">
        <v>459</v>
      </c>
      <c r="C420" s="95">
        <v>257.19</v>
      </c>
    </row>
    <row r="421" spans="1:3" x14ac:dyDescent="0.3">
      <c r="A421" s="93" t="s">
        <v>70</v>
      </c>
      <c r="B421" s="94">
        <v>460</v>
      </c>
      <c r="C421" s="95">
        <v>265.42</v>
      </c>
    </row>
    <row r="422" spans="1:3" x14ac:dyDescent="0.3">
      <c r="A422" s="93" t="s">
        <v>70</v>
      </c>
      <c r="B422" s="94">
        <v>461</v>
      </c>
      <c r="C422" s="95">
        <v>273.85000000000002</v>
      </c>
    </row>
    <row r="423" spans="1:3" x14ac:dyDescent="0.3">
      <c r="A423" s="93" t="s">
        <v>70</v>
      </c>
      <c r="B423" s="94">
        <v>462</v>
      </c>
      <c r="C423" s="95">
        <v>282.45999999999998</v>
      </c>
    </row>
    <row r="424" spans="1:3" x14ac:dyDescent="0.3">
      <c r="A424" s="93" t="s">
        <v>70</v>
      </c>
      <c r="B424" s="94">
        <v>463</v>
      </c>
      <c r="C424" s="95">
        <v>291.25</v>
      </c>
    </row>
    <row r="425" spans="1:3" x14ac:dyDescent="0.3">
      <c r="A425" s="93" t="s">
        <v>70</v>
      </c>
      <c r="B425" s="94">
        <v>464</v>
      </c>
      <c r="C425" s="95">
        <v>300.25</v>
      </c>
    </row>
    <row r="426" spans="1:3" x14ac:dyDescent="0.3">
      <c r="A426" s="93" t="s">
        <v>70</v>
      </c>
      <c r="B426" s="94">
        <v>465</v>
      </c>
      <c r="C426" s="95">
        <v>309.41000000000003</v>
      </c>
    </row>
    <row r="427" spans="1:3" x14ac:dyDescent="0.3">
      <c r="A427" s="93" t="s">
        <v>70</v>
      </c>
      <c r="B427" s="94">
        <v>466</v>
      </c>
      <c r="C427" s="95">
        <v>318.77</v>
      </c>
    </row>
    <row r="428" spans="1:3" x14ac:dyDescent="0.3">
      <c r="A428" s="93" t="s">
        <v>70</v>
      </c>
      <c r="B428" s="94">
        <v>467</v>
      </c>
      <c r="C428" s="95">
        <v>328.31</v>
      </c>
    </row>
    <row r="429" spans="1:3" x14ac:dyDescent="0.3">
      <c r="A429" s="93" t="s">
        <v>70</v>
      </c>
      <c r="B429" s="94">
        <v>468</v>
      </c>
      <c r="C429" s="95">
        <v>338.03</v>
      </c>
    </row>
    <row r="430" spans="1:3" x14ac:dyDescent="0.3">
      <c r="A430" s="93" t="s">
        <v>70</v>
      </c>
      <c r="B430" s="94">
        <v>469</v>
      </c>
      <c r="C430" s="95">
        <v>347.91</v>
      </c>
    </row>
    <row r="431" spans="1:3" x14ac:dyDescent="0.3">
      <c r="A431" s="93" t="s">
        <v>70</v>
      </c>
      <c r="B431" s="94">
        <v>470</v>
      </c>
      <c r="C431" s="95">
        <v>357.98</v>
      </c>
    </row>
    <row r="432" spans="1:3" x14ac:dyDescent="0.3">
      <c r="A432" s="93" t="s">
        <v>70</v>
      </c>
      <c r="B432" s="94">
        <v>471</v>
      </c>
      <c r="C432" s="95">
        <v>368.21</v>
      </c>
    </row>
    <row r="433" spans="1:3" x14ac:dyDescent="0.3">
      <c r="A433" s="93" t="s">
        <v>70</v>
      </c>
      <c r="B433" s="94">
        <v>472</v>
      </c>
      <c r="C433" s="95">
        <v>378.61</v>
      </c>
    </row>
    <row r="434" spans="1:3" x14ac:dyDescent="0.3">
      <c r="A434" s="93" t="s">
        <v>70</v>
      </c>
      <c r="B434" s="94">
        <v>473</v>
      </c>
      <c r="C434" s="95">
        <v>389.16</v>
      </c>
    </row>
    <row r="435" spans="1:3" x14ac:dyDescent="0.3">
      <c r="A435" s="93" t="s">
        <v>70</v>
      </c>
      <c r="B435" s="94">
        <v>474</v>
      </c>
      <c r="C435" s="95">
        <v>399.88</v>
      </c>
    </row>
    <row r="436" spans="1:3" x14ac:dyDescent="0.3">
      <c r="A436" s="93" t="s">
        <v>70</v>
      </c>
      <c r="B436" s="94">
        <v>475</v>
      </c>
      <c r="C436" s="95">
        <v>410.72</v>
      </c>
    </row>
    <row r="437" spans="1:3" x14ac:dyDescent="0.3">
      <c r="A437" s="93" t="s">
        <v>70</v>
      </c>
      <c r="B437" s="94">
        <v>476</v>
      </c>
      <c r="C437" s="95">
        <v>421.73</v>
      </c>
    </row>
    <row r="438" spans="1:3" x14ac:dyDescent="0.3">
      <c r="A438" s="93" t="s">
        <v>70</v>
      </c>
      <c r="B438" s="94">
        <v>477</v>
      </c>
      <c r="C438" s="95">
        <v>432.86</v>
      </c>
    </row>
    <row r="439" spans="1:3" x14ac:dyDescent="0.3">
      <c r="A439" s="93" t="s">
        <v>70</v>
      </c>
      <c r="B439" s="94">
        <v>478</v>
      </c>
      <c r="C439" s="95">
        <v>444.13</v>
      </c>
    </row>
    <row r="440" spans="1:3" x14ac:dyDescent="0.3">
      <c r="A440" s="93" t="s">
        <v>70</v>
      </c>
      <c r="B440" s="94">
        <v>479</v>
      </c>
      <c r="C440" s="95">
        <v>455.52</v>
      </c>
    </row>
    <row r="441" spans="1:3" x14ac:dyDescent="0.3">
      <c r="A441" s="93" t="s">
        <v>70</v>
      </c>
      <c r="B441" s="94">
        <v>480</v>
      </c>
      <c r="C441" s="95">
        <v>467</v>
      </c>
    </row>
    <row r="442" spans="1:3" x14ac:dyDescent="0.3">
      <c r="A442" s="93" t="s">
        <v>70</v>
      </c>
      <c r="B442" s="94">
        <v>481</v>
      </c>
      <c r="C442" s="95">
        <v>478.6</v>
      </c>
    </row>
    <row r="443" spans="1:3" x14ac:dyDescent="0.3">
      <c r="A443" s="93" t="s">
        <v>70</v>
      </c>
      <c r="B443" s="94">
        <v>482</v>
      </c>
      <c r="C443" s="95">
        <v>490.3</v>
      </c>
    </row>
    <row r="444" spans="1:3" x14ac:dyDescent="0.3">
      <c r="A444" s="93" t="s">
        <v>70</v>
      </c>
      <c r="B444" s="94">
        <v>483</v>
      </c>
      <c r="C444" s="95">
        <v>502.07</v>
      </c>
    </row>
    <row r="445" spans="1:3" x14ac:dyDescent="0.3">
      <c r="A445" s="93" t="s">
        <v>70</v>
      </c>
      <c r="B445" s="94">
        <v>484</v>
      </c>
      <c r="C445" s="95">
        <v>513.94000000000005</v>
      </c>
    </row>
    <row r="446" spans="1:3" x14ac:dyDescent="0.3">
      <c r="A446" s="93" t="s">
        <v>70</v>
      </c>
      <c r="B446" s="94">
        <v>485</v>
      </c>
      <c r="C446" s="95">
        <v>525.88</v>
      </c>
    </row>
    <row r="447" spans="1:3" x14ac:dyDescent="0.3">
      <c r="A447" s="93" t="s">
        <v>70</v>
      </c>
      <c r="B447" s="94">
        <v>486</v>
      </c>
      <c r="C447" s="95">
        <v>537.86</v>
      </c>
    </row>
    <row r="448" spans="1:3" x14ac:dyDescent="0.3">
      <c r="A448" s="93" t="s">
        <v>70</v>
      </c>
      <c r="B448" s="94">
        <v>487</v>
      </c>
      <c r="C448" s="95">
        <v>549.88</v>
      </c>
    </row>
    <row r="449" spans="1:3" x14ac:dyDescent="0.3">
      <c r="A449" s="93" t="s">
        <v>70</v>
      </c>
      <c r="B449" s="94">
        <v>488</v>
      </c>
      <c r="C449" s="95">
        <v>561.96</v>
      </c>
    </row>
    <row r="450" spans="1:3" x14ac:dyDescent="0.3">
      <c r="A450" s="93" t="s">
        <v>70</v>
      </c>
      <c r="B450" s="94">
        <v>489</v>
      </c>
      <c r="C450" s="95">
        <v>574.04999999999995</v>
      </c>
    </row>
    <row r="451" spans="1:3" x14ac:dyDescent="0.3">
      <c r="A451" s="93" t="s">
        <v>70</v>
      </c>
      <c r="B451" s="94">
        <v>490</v>
      </c>
      <c r="C451" s="95">
        <v>586.15</v>
      </c>
    </row>
    <row r="452" spans="1:3" x14ac:dyDescent="0.3">
      <c r="A452" s="93" t="s">
        <v>70</v>
      </c>
      <c r="B452" s="94">
        <v>491</v>
      </c>
      <c r="C452" s="95">
        <v>598.28</v>
      </c>
    </row>
    <row r="453" spans="1:3" x14ac:dyDescent="0.3">
      <c r="A453" s="93" t="s">
        <v>70</v>
      </c>
      <c r="B453" s="94">
        <v>492</v>
      </c>
      <c r="C453" s="95">
        <v>610.39</v>
      </c>
    </row>
    <row r="454" spans="1:3" x14ac:dyDescent="0.3">
      <c r="A454" s="93" t="s">
        <v>70</v>
      </c>
      <c r="B454" s="94">
        <v>493</v>
      </c>
      <c r="C454" s="95">
        <v>622.48</v>
      </c>
    </row>
    <row r="455" spans="1:3" x14ac:dyDescent="0.3">
      <c r="A455" s="93" t="s">
        <v>70</v>
      </c>
      <c r="B455" s="94">
        <v>494</v>
      </c>
      <c r="C455" s="95">
        <v>634.54</v>
      </c>
    </row>
    <row r="456" spans="1:3" x14ac:dyDescent="0.3">
      <c r="A456" s="93" t="s">
        <v>70</v>
      </c>
      <c r="B456" s="94">
        <v>495</v>
      </c>
      <c r="C456" s="95">
        <v>646.58000000000004</v>
      </c>
    </row>
    <row r="457" spans="1:3" x14ac:dyDescent="0.3">
      <c r="A457" s="93" t="s">
        <v>70</v>
      </c>
      <c r="B457" s="94">
        <v>496</v>
      </c>
      <c r="C457" s="95">
        <v>658.55</v>
      </c>
    </row>
    <row r="458" spans="1:3" x14ac:dyDescent="0.3">
      <c r="A458" s="93" t="s">
        <v>70</v>
      </c>
      <c r="B458" s="94">
        <v>497</v>
      </c>
      <c r="C458" s="95">
        <v>670.47</v>
      </c>
    </row>
    <row r="459" spans="1:3" x14ac:dyDescent="0.3">
      <c r="A459" s="93" t="s">
        <v>70</v>
      </c>
      <c r="B459" s="94">
        <v>498</v>
      </c>
      <c r="C459" s="95">
        <v>682.32</v>
      </c>
    </row>
    <row r="460" spans="1:3" x14ac:dyDescent="0.3">
      <c r="A460" s="93" t="s">
        <v>70</v>
      </c>
      <c r="B460" s="94">
        <v>499</v>
      </c>
      <c r="C460" s="95">
        <v>694.09</v>
      </c>
    </row>
    <row r="461" spans="1:3" x14ac:dyDescent="0.3">
      <c r="A461" s="93" t="s">
        <v>70</v>
      </c>
      <c r="B461" s="94">
        <v>500</v>
      </c>
      <c r="C461" s="95">
        <v>705.77</v>
      </c>
    </row>
    <row r="462" spans="1:3" x14ac:dyDescent="0.3">
      <c r="A462" s="93" t="s">
        <v>70</v>
      </c>
      <c r="B462" s="94">
        <v>501</v>
      </c>
      <c r="C462" s="95">
        <v>717.34</v>
      </c>
    </row>
    <row r="463" spans="1:3" x14ac:dyDescent="0.3">
      <c r="A463" s="93" t="s">
        <v>70</v>
      </c>
      <c r="B463" s="94">
        <v>502</v>
      </c>
      <c r="C463" s="95">
        <v>728.81</v>
      </c>
    </row>
    <row r="464" spans="1:3" x14ac:dyDescent="0.3">
      <c r="A464" s="93" t="s">
        <v>70</v>
      </c>
      <c r="B464" s="94">
        <v>503</v>
      </c>
      <c r="C464" s="95">
        <v>740.15</v>
      </c>
    </row>
    <row r="465" spans="1:3" x14ac:dyDescent="0.3">
      <c r="A465" s="93" t="s">
        <v>70</v>
      </c>
      <c r="B465" s="94">
        <v>504</v>
      </c>
      <c r="C465" s="95">
        <v>751.36</v>
      </c>
    </row>
    <row r="466" spans="1:3" x14ac:dyDescent="0.3">
      <c r="A466" s="93" t="s">
        <v>70</v>
      </c>
      <c r="B466" s="94">
        <v>505</v>
      </c>
      <c r="C466" s="95">
        <v>762.45</v>
      </c>
    </row>
    <row r="467" spans="1:3" x14ac:dyDescent="0.3">
      <c r="A467" s="93" t="s">
        <v>70</v>
      </c>
      <c r="B467" s="94">
        <v>506</v>
      </c>
      <c r="C467" s="95">
        <v>773.38</v>
      </c>
    </row>
    <row r="468" spans="1:3" x14ac:dyDescent="0.3">
      <c r="A468" s="93" t="s">
        <v>70</v>
      </c>
      <c r="B468" s="94">
        <v>507</v>
      </c>
      <c r="C468" s="95">
        <v>784.15</v>
      </c>
    </row>
    <row r="469" spans="1:3" x14ac:dyDescent="0.3">
      <c r="A469" s="93" t="s">
        <v>70</v>
      </c>
      <c r="B469" s="94">
        <v>508</v>
      </c>
      <c r="C469" s="95">
        <v>794.77</v>
      </c>
    </row>
    <row r="470" spans="1:3" x14ac:dyDescent="0.3">
      <c r="A470" s="93" t="s">
        <v>70</v>
      </c>
      <c r="B470" s="94">
        <v>509</v>
      </c>
      <c r="C470" s="95">
        <v>805.23</v>
      </c>
    </row>
    <row r="471" spans="1:3" x14ac:dyDescent="0.3">
      <c r="A471" s="93" t="s">
        <v>70</v>
      </c>
      <c r="B471" s="94">
        <v>510</v>
      </c>
      <c r="C471" s="95">
        <v>815.5</v>
      </c>
    </row>
    <row r="472" spans="1:3" x14ac:dyDescent="0.3">
      <c r="A472" s="93" t="s">
        <v>70</v>
      </c>
      <c r="B472" s="94">
        <v>511</v>
      </c>
      <c r="C472" s="95">
        <v>825.61</v>
      </c>
    </row>
    <row r="473" spans="1:3" x14ac:dyDescent="0.3">
      <c r="A473" s="93" t="s">
        <v>70</v>
      </c>
      <c r="B473" s="94">
        <v>512</v>
      </c>
      <c r="C473" s="95">
        <v>835.52</v>
      </c>
    </row>
    <row r="474" spans="1:3" x14ac:dyDescent="0.3">
      <c r="A474" s="93" t="s">
        <v>70</v>
      </c>
      <c r="B474" s="94">
        <v>513</v>
      </c>
      <c r="C474" s="95">
        <v>845.24</v>
      </c>
    </row>
    <row r="475" spans="1:3" x14ac:dyDescent="0.3">
      <c r="A475" s="93" t="s">
        <v>70</v>
      </c>
      <c r="B475" s="94">
        <v>514</v>
      </c>
      <c r="C475" s="95">
        <v>854.77</v>
      </c>
    </row>
    <row r="476" spans="1:3" x14ac:dyDescent="0.3">
      <c r="A476" s="93" t="s">
        <v>70</v>
      </c>
      <c r="B476" s="94">
        <v>515</v>
      </c>
      <c r="C476" s="95">
        <v>864.1</v>
      </c>
    </row>
    <row r="477" spans="1:3" x14ac:dyDescent="0.3">
      <c r="A477" s="93" t="s">
        <v>70</v>
      </c>
      <c r="B477" s="94">
        <v>516</v>
      </c>
      <c r="C477" s="95">
        <v>873.22</v>
      </c>
    </row>
    <row r="478" spans="1:3" x14ac:dyDescent="0.3">
      <c r="A478" s="93" t="s">
        <v>70</v>
      </c>
      <c r="B478" s="94">
        <v>517</v>
      </c>
      <c r="C478" s="95">
        <v>882.14</v>
      </c>
    </row>
    <row r="479" spans="1:3" x14ac:dyDescent="0.3">
      <c r="A479" s="93" t="s">
        <v>70</v>
      </c>
      <c r="B479" s="94">
        <v>518</v>
      </c>
      <c r="C479" s="95">
        <v>890.86</v>
      </c>
    </row>
    <row r="480" spans="1:3" x14ac:dyDescent="0.3">
      <c r="A480" s="93" t="s">
        <v>70</v>
      </c>
      <c r="B480" s="94">
        <v>519</v>
      </c>
      <c r="C480" s="95">
        <v>899.35</v>
      </c>
    </row>
    <row r="481" spans="1:3" x14ac:dyDescent="0.3">
      <c r="A481" s="93" t="s">
        <v>70</v>
      </c>
      <c r="B481" s="94">
        <v>520</v>
      </c>
      <c r="C481" s="95">
        <v>907.65</v>
      </c>
    </row>
    <row r="482" spans="1:3" x14ac:dyDescent="0.3">
      <c r="A482" s="93" t="s">
        <v>70</v>
      </c>
      <c r="B482" s="94">
        <v>521</v>
      </c>
      <c r="C482" s="95">
        <v>915.72</v>
      </c>
    </row>
    <row r="483" spans="1:3" x14ac:dyDescent="0.3">
      <c r="A483" s="93" t="s">
        <v>70</v>
      </c>
      <c r="B483" s="94">
        <v>522</v>
      </c>
      <c r="C483" s="95">
        <v>923.58</v>
      </c>
    </row>
    <row r="484" spans="1:3" x14ac:dyDescent="0.3">
      <c r="A484" s="93" t="s">
        <v>70</v>
      </c>
      <c r="B484" s="94">
        <v>523</v>
      </c>
      <c r="C484" s="95">
        <v>931.23</v>
      </c>
    </row>
    <row r="485" spans="1:3" x14ac:dyDescent="0.3">
      <c r="A485" s="93" t="s">
        <v>70</v>
      </c>
      <c r="B485" s="94">
        <v>524</v>
      </c>
      <c r="C485" s="95">
        <v>938.67</v>
      </c>
    </row>
    <row r="486" spans="1:3" x14ac:dyDescent="0.3">
      <c r="A486" s="93" t="s">
        <v>70</v>
      </c>
      <c r="B486" s="94">
        <v>525</v>
      </c>
      <c r="C486" s="95">
        <v>945.9</v>
      </c>
    </row>
    <row r="487" spans="1:3" x14ac:dyDescent="0.3">
      <c r="A487" s="93" t="s">
        <v>70</v>
      </c>
      <c r="B487" s="94">
        <v>526</v>
      </c>
      <c r="C487" s="95">
        <v>952.9</v>
      </c>
    </row>
    <row r="488" spans="1:3" x14ac:dyDescent="0.3">
      <c r="A488" s="93" t="s">
        <v>70</v>
      </c>
      <c r="B488" s="94">
        <v>527</v>
      </c>
      <c r="C488" s="95">
        <v>959.69</v>
      </c>
    </row>
    <row r="489" spans="1:3" x14ac:dyDescent="0.3">
      <c r="A489" s="93" t="s">
        <v>70</v>
      </c>
      <c r="B489" s="94">
        <v>528</v>
      </c>
      <c r="C489" s="95">
        <v>966.27</v>
      </c>
    </row>
    <row r="490" spans="1:3" x14ac:dyDescent="0.3">
      <c r="A490" s="93" t="s">
        <v>70</v>
      </c>
      <c r="B490" s="94">
        <v>529</v>
      </c>
      <c r="C490" s="95">
        <v>972.65</v>
      </c>
    </row>
    <row r="491" spans="1:3" x14ac:dyDescent="0.3">
      <c r="A491" s="93" t="s">
        <v>70</v>
      </c>
      <c r="B491" s="94">
        <v>530</v>
      </c>
      <c r="C491" s="95">
        <v>978.83</v>
      </c>
    </row>
    <row r="492" spans="1:3" x14ac:dyDescent="0.3">
      <c r="A492" s="93" t="s">
        <v>70</v>
      </c>
      <c r="B492" s="94">
        <v>531</v>
      </c>
      <c r="C492" s="95">
        <v>984.79</v>
      </c>
    </row>
    <row r="493" spans="1:3" x14ac:dyDescent="0.3">
      <c r="A493" s="93" t="s">
        <v>70</v>
      </c>
      <c r="B493" s="94">
        <v>532</v>
      </c>
      <c r="C493" s="95">
        <v>990.55</v>
      </c>
    </row>
    <row r="494" spans="1:3" x14ac:dyDescent="0.3">
      <c r="A494" s="93" t="s">
        <v>70</v>
      </c>
      <c r="B494" s="94">
        <v>533</v>
      </c>
      <c r="C494" s="95">
        <v>996.11</v>
      </c>
    </row>
    <row r="495" spans="1:3" x14ac:dyDescent="0.3">
      <c r="A495" s="93" t="s">
        <v>70</v>
      </c>
      <c r="B495" s="94">
        <v>534</v>
      </c>
      <c r="C495" s="95">
        <v>1001.49</v>
      </c>
    </row>
    <row r="496" spans="1:3" x14ac:dyDescent="0.3">
      <c r="A496" s="93" t="s">
        <v>70</v>
      </c>
      <c r="B496" s="94">
        <v>535</v>
      </c>
      <c r="C496" s="95">
        <v>1006.67</v>
      </c>
    </row>
    <row r="497" spans="1:3" x14ac:dyDescent="0.3">
      <c r="A497" s="93" t="s">
        <v>70</v>
      </c>
      <c r="B497" s="94">
        <v>536</v>
      </c>
      <c r="C497" s="95">
        <v>1011.65</v>
      </c>
    </row>
    <row r="498" spans="1:3" x14ac:dyDescent="0.3">
      <c r="A498" s="93" t="s">
        <v>70</v>
      </c>
      <c r="B498" s="94">
        <v>537</v>
      </c>
      <c r="C498" s="95">
        <v>1016.46</v>
      </c>
    </row>
    <row r="499" spans="1:3" x14ac:dyDescent="0.3">
      <c r="A499" s="93" t="s">
        <v>70</v>
      </c>
      <c r="B499" s="94">
        <v>538</v>
      </c>
      <c r="C499" s="95">
        <v>1021.07</v>
      </c>
    </row>
    <row r="500" spans="1:3" x14ac:dyDescent="0.3">
      <c r="A500" s="93" t="s">
        <v>70</v>
      </c>
      <c r="B500" s="94">
        <v>539</v>
      </c>
      <c r="C500" s="95">
        <v>1025.52</v>
      </c>
    </row>
    <row r="501" spans="1:3" x14ac:dyDescent="0.3">
      <c r="A501" s="93" t="s">
        <v>70</v>
      </c>
      <c r="B501" s="94">
        <v>540</v>
      </c>
      <c r="C501" s="95">
        <v>1029.78</v>
      </c>
    </row>
    <row r="502" spans="1:3" x14ac:dyDescent="0.3">
      <c r="A502" s="93" t="s">
        <v>70</v>
      </c>
      <c r="B502" s="94">
        <v>541</v>
      </c>
      <c r="C502" s="95">
        <v>1033.8800000000001</v>
      </c>
    </row>
    <row r="503" spans="1:3" x14ac:dyDescent="0.3">
      <c r="A503" s="93" t="s">
        <v>70</v>
      </c>
      <c r="B503" s="94">
        <v>542</v>
      </c>
      <c r="C503" s="95">
        <v>1037.82</v>
      </c>
    </row>
    <row r="504" spans="1:3" x14ac:dyDescent="0.3">
      <c r="A504" s="93" t="s">
        <v>70</v>
      </c>
      <c r="B504" s="94">
        <v>543</v>
      </c>
      <c r="C504" s="95">
        <v>1041.5899999999999</v>
      </c>
    </row>
    <row r="505" spans="1:3" x14ac:dyDescent="0.3">
      <c r="A505" s="93" t="s">
        <v>70</v>
      </c>
      <c r="B505" s="94">
        <v>544</v>
      </c>
      <c r="C505" s="95">
        <v>1045.2</v>
      </c>
    </row>
    <row r="506" spans="1:3" x14ac:dyDescent="0.3">
      <c r="A506" s="93" t="s">
        <v>70</v>
      </c>
      <c r="B506" s="94">
        <v>545</v>
      </c>
      <c r="C506" s="95">
        <v>1048.6600000000001</v>
      </c>
    </row>
    <row r="507" spans="1:3" x14ac:dyDescent="0.3">
      <c r="A507" s="93" t="s">
        <v>70</v>
      </c>
      <c r="B507" s="94">
        <v>546</v>
      </c>
      <c r="C507" s="95">
        <v>1051.97</v>
      </c>
    </row>
    <row r="508" spans="1:3" x14ac:dyDescent="0.3">
      <c r="A508" s="93" t="s">
        <v>70</v>
      </c>
      <c r="B508" s="94">
        <v>547</v>
      </c>
      <c r="C508" s="95">
        <v>1055.1400000000001</v>
      </c>
    </row>
    <row r="509" spans="1:3" x14ac:dyDescent="0.3">
      <c r="A509" s="93" t="s">
        <v>70</v>
      </c>
      <c r="B509" s="94">
        <v>548</v>
      </c>
      <c r="C509" s="95">
        <v>1058.1600000000001</v>
      </c>
    </row>
    <row r="510" spans="1:3" x14ac:dyDescent="0.3">
      <c r="A510" s="93" t="s">
        <v>70</v>
      </c>
      <c r="B510" s="94">
        <v>549</v>
      </c>
      <c r="C510" s="95">
        <v>1061.06</v>
      </c>
    </row>
    <row r="511" spans="1:3" x14ac:dyDescent="0.3">
      <c r="A511" s="93" t="s">
        <v>70</v>
      </c>
      <c r="B511" s="94">
        <v>550</v>
      </c>
      <c r="C511" s="95">
        <v>1063.83</v>
      </c>
    </row>
    <row r="512" spans="1:3" x14ac:dyDescent="0.3">
      <c r="A512" s="93" t="s">
        <v>70</v>
      </c>
      <c r="B512" s="94">
        <v>551</v>
      </c>
      <c r="C512" s="95">
        <v>1066.45</v>
      </c>
    </row>
    <row r="513" spans="1:3" x14ac:dyDescent="0.3">
      <c r="A513" s="93" t="s">
        <v>70</v>
      </c>
      <c r="B513" s="94">
        <v>552</v>
      </c>
      <c r="C513" s="95">
        <v>1068.96</v>
      </c>
    </row>
    <row r="514" spans="1:3" x14ac:dyDescent="0.3">
      <c r="A514" s="93" t="s">
        <v>70</v>
      </c>
      <c r="B514" s="94">
        <v>553</v>
      </c>
      <c r="C514" s="95">
        <v>1071.3499999999999</v>
      </c>
    </row>
    <row r="515" spans="1:3" x14ac:dyDescent="0.3">
      <c r="A515" s="93" t="s">
        <v>70</v>
      </c>
      <c r="B515" s="94">
        <v>554</v>
      </c>
      <c r="C515" s="95">
        <v>1073.6300000000001</v>
      </c>
    </row>
    <row r="516" spans="1:3" x14ac:dyDescent="0.3">
      <c r="A516" s="93" t="s">
        <v>70</v>
      </c>
      <c r="B516" s="94">
        <v>555</v>
      </c>
      <c r="C516" s="95">
        <v>1075.8</v>
      </c>
    </row>
    <row r="517" spans="1:3" x14ac:dyDescent="0.3">
      <c r="A517" s="93" t="s">
        <v>70</v>
      </c>
      <c r="B517" s="94">
        <v>556</v>
      </c>
      <c r="C517" s="95">
        <v>1077.8599999999999</v>
      </c>
    </row>
    <row r="518" spans="1:3" x14ac:dyDescent="0.3">
      <c r="A518" s="93" t="s">
        <v>70</v>
      </c>
      <c r="B518" s="94">
        <v>557</v>
      </c>
      <c r="C518" s="95">
        <v>1079.82</v>
      </c>
    </row>
    <row r="519" spans="1:3" x14ac:dyDescent="0.3">
      <c r="A519" s="93" t="s">
        <v>70</v>
      </c>
      <c r="B519" s="94">
        <v>558</v>
      </c>
      <c r="C519" s="95">
        <v>1081.69</v>
      </c>
    </row>
    <row r="520" spans="1:3" x14ac:dyDescent="0.3">
      <c r="A520" s="93" t="s">
        <v>70</v>
      </c>
      <c r="B520" s="94">
        <v>559</v>
      </c>
      <c r="C520" s="95">
        <v>1083.47</v>
      </c>
    </row>
    <row r="521" spans="1:3" x14ac:dyDescent="0.3">
      <c r="A521" s="93" t="s">
        <v>70</v>
      </c>
      <c r="B521" s="94">
        <v>560</v>
      </c>
      <c r="C521" s="95">
        <v>1085.1600000000001</v>
      </c>
    </row>
    <row r="522" spans="1:3" x14ac:dyDescent="0.3">
      <c r="A522" s="93" t="s">
        <v>70</v>
      </c>
      <c r="B522" s="94">
        <v>561</v>
      </c>
      <c r="C522" s="95">
        <v>1086.75</v>
      </c>
    </row>
    <row r="523" spans="1:3" x14ac:dyDescent="0.3">
      <c r="A523" s="93" t="s">
        <v>70</v>
      </c>
      <c r="B523" s="94">
        <v>562</v>
      </c>
      <c r="C523" s="95">
        <v>1088.27</v>
      </c>
    </row>
    <row r="524" spans="1:3" x14ac:dyDescent="0.3">
      <c r="A524" s="93" t="s">
        <v>70</v>
      </c>
      <c r="B524" s="94">
        <v>563</v>
      </c>
      <c r="C524" s="95">
        <v>1089.71</v>
      </c>
    </row>
    <row r="525" spans="1:3" x14ac:dyDescent="0.3">
      <c r="A525" s="93" t="s">
        <v>70</v>
      </c>
      <c r="B525" s="94">
        <v>564</v>
      </c>
      <c r="C525" s="95">
        <v>1091.08</v>
      </c>
    </row>
    <row r="526" spans="1:3" x14ac:dyDescent="0.3">
      <c r="A526" s="93" t="s">
        <v>70</v>
      </c>
      <c r="B526" s="94">
        <v>565</v>
      </c>
      <c r="C526" s="95">
        <v>1092.3800000000001</v>
      </c>
    </row>
    <row r="527" spans="1:3" x14ac:dyDescent="0.3">
      <c r="A527" s="93" t="s">
        <v>70</v>
      </c>
      <c r="B527" s="94">
        <v>566</v>
      </c>
      <c r="C527" s="95">
        <v>1093.6199999999999</v>
      </c>
    </row>
    <row r="528" spans="1:3" x14ac:dyDescent="0.3">
      <c r="A528" s="93" t="s">
        <v>70</v>
      </c>
      <c r="B528" s="94">
        <v>567</v>
      </c>
      <c r="C528" s="95">
        <v>1094.79</v>
      </c>
    </row>
    <row r="529" spans="1:3" x14ac:dyDescent="0.3">
      <c r="A529" s="93" t="s">
        <v>70</v>
      </c>
      <c r="B529" s="94">
        <v>568</v>
      </c>
      <c r="C529" s="95">
        <v>1095.92</v>
      </c>
    </row>
    <row r="530" spans="1:3" x14ac:dyDescent="0.3">
      <c r="A530" s="93" t="s">
        <v>70</v>
      </c>
      <c r="B530" s="94">
        <v>569</v>
      </c>
      <c r="C530" s="95">
        <v>1097</v>
      </c>
    </row>
    <row r="531" spans="1:3" x14ac:dyDescent="0.3">
      <c r="A531" s="93" t="s">
        <v>71</v>
      </c>
      <c r="B531" s="94">
        <v>344</v>
      </c>
      <c r="C531" s="95">
        <v>46.32</v>
      </c>
    </row>
    <row r="532" spans="1:3" x14ac:dyDescent="0.3">
      <c r="A532" s="93" t="s">
        <v>71</v>
      </c>
      <c r="B532" s="94">
        <v>345</v>
      </c>
      <c r="C532" s="95">
        <v>46.32</v>
      </c>
    </row>
    <row r="533" spans="1:3" x14ac:dyDescent="0.3">
      <c r="A533" s="93" t="s">
        <v>71</v>
      </c>
      <c r="B533" s="94">
        <v>346</v>
      </c>
      <c r="C533" s="95">
        <v>46.32</v>
      </c>
    </row>
    <row r="534" spans="1:3" x14ac:dyDescent="0.3">
      <c r="A534" s="93" t="s">
        <v>71</v>
      </c>
      <c r="B534" s="94">
        <v>347</v>
      </c>
      <c r="C534" s="95">
        <v>46.32</v>
      </c>
    </row>
    <row r="535" spans="1:3" x14ac:dyDescent="0.3">
      <c r="A535" s="93" t="s">
        <v>71</v>
      </c>
      <c r="B535" s="94">
        <v>348</v>
      </c>
      <c r="C535" s="95">
        <v>46.32</v>
      </c>
    </row>
    <row r="536" spans="1:3" x14ac:dyDescent="0.3">
      <c r="A536" s="93" t="s">
        <v>71</v>
      </c>
      <c r="B536" s="94">
        <v>349</v>
      </c>
      <c r="C536" s="95">
        <v>46.32</v>
      </c>
    </row>
    <row r="537" spans="1:3" x14ac:dyDescent="0.3">
      <c r="A537" s="93" t="s">
        <v>71</v>
      </c>
      <c r="B537" s="94">
        <v>350</v>
      </c>
      <c r="C537" s="95">
        <v>46.32</v>
      </c>
    </row>
    <row r="538" spans="1:3" x14ac:dyDescent="0.3">
      <c r="A538" s="93" t="s">
        <v>71</v>
      </c>
      <c r="B538" s="94">
        <v>351</v>
      </c>
      <c r="C538" s="95">
        <v>46.32</v>
      </c>
    </row>
    <row r="539" spans="1:3" x14ac:dyDescent="0.3">
      <c r="A539" s="93" t="s">
        <v>71</v>
      </c>
      <c r="B539" s="94">
        <v>352</v>
      </c>
      <c r="C539" s="95">
        <v>46.32</v>
      </c>
    </row>
    <row r="540" spans="1:3" x14ac:dyDescent="0.3">
      <c r="A540" s="93" t="s">
        <v>71</v>
      </c>
      <c r="B540" s="94">
        <v>353</v>
      </c>
      <c r="C540" s="95">
        <v>46.32</v>
      </c>
    </row>
    <row r="541" spans="1:3" x14ac:dyDescent="0.3">
      <c r="A541" s="93" t="s">
        <v>71</v>
      </c>
      <c r="B541" s="94">
        <v>354</v>
      </c>
      <c r="C541" s="95">
        <v>46.32</v>
      </c>
    </row>
    <row r="542" spans="1:3" x14ac:dyDescent="0.3">
      <c r="A542" s="93" t="s">
        <v>71</v>
      </c>
      <c r="B542" s="94">
        <v>355</v>
      </c>
      <c r="C542" s="95">
        <v>46.32</v>
      </c>
    </row>
    <row r="543" spans="1:3" x14ac:dyDescent="0.3">
      <c r="A543" s="93" t="s">
        <v>71</v>
      </c>
      <c r="B543" s="94">
        <v>356</v>
      </c>
      <c r="C543" s="95">
        <v>46.32</v>
      </c>
    </row>
    <row r="544" spans="1:3" x14ac:dyDescent="0.3">
      <c r="A544" s="93" t="s">
        <v>71</v>
      </c>
      <c r="B544" s="94">
        <v>357</v>
      </c>
      <c r="C544" s="95">
        <v>46.32</v>
      </c>
    </row>
    <row r="545" spans="1:3" x14ac:dyDescent="0.3">
      <c r="A545" s="93" t="s">
        <v>71</v>
      </c>
      <c r="B545" s="94">
        <v>358</v>
      </c>
      <c r="C545" s="95">
        <v>46.32</v>
      </c>
    </row>
    <row r="546" spans="1:3" x14ac:dyDescent="0.3">
      <c r="A546" s="93" t="s">
        <v>71</v>
      </c>
      <c r="B546" s="94">
        <v>359</v>
      </c>
      <c r="C546" s="95">
        <v>46.32</v>
      </c>
    </row>
    <row r="547" spans="1:3" x14ac:dyDescent="0.3">
      <c r="A547" s="93" t="s">
        <v>71</v>
      </c>
      <c r="B547" s="94">
        <v>360</v>
      </c>
      <c r="C547" s="95">
        <v>46.32</v>
      </c>
    </row>
    <row r="548" spans="1:3" x14ac:dyDescent="0.3">
      <c r="A548" s="93" t="s">
        <v>71</v>
      </c>
      <c r="B548" s="94">
        <v>361</v>
      </c>
      <c r="C548" s="95">
        <v>46.32</v>
      </c>
    </row>
    <row r="549" spans="1:3" x14ac:dyDescent="0.3">
      <c r="A549" s="93" t="s">
        <v>71</v>
      </c>
      <c r="B549" s="94">
        <v>362</v>
      </c>
      <c r="C549" s="95">
        <v>46.32</v>
      </c>
    </row>
    <row r="550" spans="1:3" x14ac:dyDescent="0.3">
      <c r="A550" s="93" t="s">
        <v>71</v>
      </c>
      <c r="B550" s="94">
        <v>363</v>
      </c>
      <c r="C550" s="95">
        <v>46.32</v>
      </c>
    </row>
    <row r="551" spans="1:3" x14ac:dyDescent="0.3">
      <c r="A551" s="93" t="s">
        <v>71</v>
      </c>
      <c r="B551" s="94">
        <v>364</v>
      </c>
      <c r="C551" s="95">
        <v>46.32</v>
      </c>
    </row>
    <row r="552" spans="1:3" x14ac:dyDescent="0.3">
      <c r="A552" s="93" t="s">
        <v>71</v>
      </c>
      <c r="B552" s="94">
        <v>365</v>
      </c>
      <c r="C552" s="95">
        <v>46.32</v>
      </c>
    </row>
    <row r="553" spans="1:3" x14ac:dyDescent="0.3">
      <c r="A553" s="93" t="s">
        <v>71</v>
      </c>
      <c r="B553" s="94">
        <v>366</v>
      </c>
      <c r="C553" s="95">
        <v>46.32</v>
      </c>
    </row>
    <row r="554" spans="1:3" x14ac:dyDescent="0.3">
      <c r="A554" s="93" t="s">
        <v>71</v>
      </c>
      <c r="B554" s="94">
        <v>367</v>
      </c>
      <c r="C554" s="95">
        <v>46.32</v>
      </c>
    </row>
    <row r="555" spans="1:3" x14ac:dyDescent="0.3">
      <c r="A555" s="93" t="s">
        <v>71</v>
      </c>
      <c r="B555" s="94">
        <v>368</v>
      </c>
      <c r="C555" s="95">
        <v>46.32</v>
      </c>
    </row>
    <row r="556" spans="1:3" x14ac:dyDescent="0.3">
      <c r="A556" s="93" t="s">
        <v>71</v>
      </c>
      <c r="B556" s="94">
        <v>369</v>
      </c>
      <c r="C556" s="95">
        <v>46.32</v>
      </c>
    </row>
    <row r="557" spans="1:3" x14ac:dyDescent="0.3">
      <c r="A557" s="93" t="s">
        <v>71</v>
      </c>
      <c r="B557" s="94">
        <v>370</v>
      </c>
      <c r="C557" s="95">
        <v>46.32</v>
      </c>
    </row>
    <row r="558" spans="1:3" x14ac:dyDescent="0.3">
      <c r="A558" s="93" t="s">
        <v>71</v>
      </c>
      <c r="B558" s="94">
        <v>371</v>
      </c>
      <c r="C558" s="95">
        <v>46.32</v>
      </c>
    </row>
    <row r="559" spans="1:3" x14ac:dyDescent="0.3">
      <c r="A559" s="93" t="s">
        <v>71</v>
      </c>
      <c r="B559" s="94">
        <v>372</v>
      </c>
      <c r="C559" s="95">
        <v>46.32</v>
      </c>
    </row>
    <row r="560" spans="1:3" x14ac:dyDescent="0.3">
      <c r="A560" s="93" t="s">
        <v>71</v>
      </c>
      <c r="B560" s="94">
        <v>373</v>
      </c>
      <c r="C560" s="95">
        <v>46.32</v>
      </c>
    </row>
    <row r="561" spans="1:3" x14ac:dyDescent="0.3">
      <c r="A561" s="93" t="s">
        <v>71</v>
      </c>
      <c r="B561" s="94">
        <v>374</v>
      </c>
      <c r="C561" s="95">
        <v>46.32</v>
      </c>
    </row>
    <row r="562" spans="1:3" x14ac:dyDescent="0.3">
      <c r="A562" s="93" t="s">
        <v>71</v>
      </c>
      <c r="B562" s="94">
        <v>375</v>
      </c>
      <c r="C562" s="95">
        <v>46.32</v>
      </c>
    </row>
    <row r="563" spans="1:3" x14ac:dyDescent="0.3">
      <c r="A563" s="93" t="s">
        <v>71</v>
      </c>
      <c r="B563" s="94">
        <v>376</v>
      </c>
      <c r="C563" s="95">
        <v>46.32</v>
      </c>
    </row>
    <row r="564" spans="1:3" x14ac:dyDescent="0.3">
      <c r="A564" s="93" t="s">
        <v>71</v>
      </c>
      <c r="B564" s="94">
        <v>377</v>
      </c>
      <c r="C564" s="95">
        <v>46.32</v>
      </c>
    </row>
    <row r="565" spans="1:3" x14ac:dyDescent="0.3">
      <c r="A565" s="93" t="s">
        <v>71</v>
      </c>
      <c r="B565" s="94">
        <v>378</v>
      </c>
      <c r="C565" s="95">
        <v>46.32</v>
      </c>
    </row>
    <row r="566" spans="1:3" x14ac:dyDescent="0.3">
      <c r="A566" s="93" t="s">
        <v>71</v>
      </c>
      <c r="B566" s="94">
        <v>379</v>
      </c>
      <c r="C566" s="95">
        <v>46.32</v>
      </c>
    </row>
    <row r="567" spans="1:3" x14ac:dyDescent="0.3">
      <c r="A567" s="93" t="s">
        <v>71</v>
      </c>
      <c r="B567" s="94">
        <v>380</v>
      </c>
      <c r="C567" s="95">
        <v>46.38</v>
      </c>
    </row>
    <row r="568" spans="1:3" x14ac:dyDescent="0.3">
      <c r="A568" s="93" t="s">
        <v>71</v>
      </c>
      <c r="B568" s="94">
        <v>381</v>
      </c>
      <c r="C568" s="95">
        <v>46.43</v>
      </c>
    </row>
    <row r="569" spans="1:3" x14ac:dyDescent="0.3">
      <c r="A569" s="93" t="s">
        <v>71</v>
      </c>
      <c r="B569" s="94">
        <v>382</v>
      </c>
      <c r="C569" s="95">
        <v>46.5</v>
      </c>
    </row>
    <row r="570" spans="1:3" x14ac:dyDescent="0.3">
      <c r="A570" s="93" t="s">
        <v>71</v>
      </c>
      <c r="B570" s="94">
        <v>383</v>
      </c>
      <c r="C570" s="95">
        <v>46.57</v>
      </c>
    </row>
    <row r="571" spans="1:3" x14ac:dyDescent="0.3">
      <c r="A571" s="93" t="s">
        <v>71</v>
      </c>
      <c r="B571" s="94">
        <v>384</v>
      </c>
      <c r="C571" s="95">
        <v>46.63</v>
      </c>
    </row>
    <row r="572" spans="1:3" x14ac:dyDescent="0.3">
      <c r="A572" s="93" t="s">
        <v>71</v>
      </c>
      <c r="B572" s="94">
        <v>385</v>
      </c>
      <c r="C572" s="95">
        <v>46.68</v>
      </c>
    </row>
    <row r="573" spans="1:3" x14ac:dyDescent="0.3">
      <c r="A573" s="93" t="s">
        <v>71</v>
      </c>
      <c r="B573" s="94">
        <v>386</v>
      </c>
      <c r="C573" s="95">
        <v>46.74</v>
      </c>
    </row>
    <row r="574" spans="1:3" x14ac:dyDescent="0.3">
      <c r="A574" s="93" t="s">
        <v>71</v>
      </c>
      <c r="B574" s="94">
        <v>387</v>
      </c>
      <c r="C574" s="95">
        <v>46.81</v>
      </c>
    </row>
    <row r="575" spans="1:3" x14ac:dyDescent="0.3">
      <c r="A575" s="93" t="s">
        <v>71</v>
      </c>
      <c r="B575" s="94">
        <v>388</v>
      </c>
      <c r="C575" s="95">
        <v>46.88</v>
      </c>
    </row>
    <row r="576" spans="1:3" x14ac:dyDescent="0.3">
      <c r="A576" s="93" t="s">
        <v>71</v>
      </c>
      <c r="B576" s="94">
        <v>389</v>
      </c>
      <c r="C576" s="95">
        <v>46.95</v>
      </c>
    </row>
    <row r="577" spans="1:3" x14ac:dyDescent="0.3">
      <c r="A577" s="93" t="s">
        <v>71</v>
      </c>
      <c r="B577" s="94">
        <v>390</v>
      </c>
      <c r="C577" s="95">
        <v>47.01</v>
      </c>
    </row>
    <row r="578" spans="1:3" x14ac:dyDescent="0.3">
      <c r="A578" s="93" t="s">
        <v>71</v>
      </c>
      <c r="B578" s="94">
        <v>391</v>
      </c>
      <c r="C578" s="95">
        <v>47.08</v>
      </c>
    </row>
    <row r="579" spans="1:3" x14ac:dyDescent="0.3">
      <c r="A579" s="93" t="s">
        <v>71</v>
      </c>
      <c r="B579" s="94">
        <v>392</v>
      </c>
      <c r="C579" s="95">
        <v>47.15</v>
      </c>
    </row>
    <row r="580" spans="1:3" x14ac:dyDescent="0.3">
      <c r="A580" s="93" t="s">
        <v>71</v>
      </c>
      <c r="B580" s="94">
        <v>393</v>
      </c>
      <c r="C580" s="95">
        <v>47.22</v>
      </c>
    </row>
    <row r="581" spans="1:3" x14ac:dyDescent="0.3">
      <c r="A581" s="93" t="s">
        <v>71</v>
      </c>
      <c r="B581" s="94">
        <v>394</v>
      </c>
      <c r="C581" s="95">
        <v>47.29</v>
      </c>
    </row>
    <row r="582" spans="1:3" x14ac:dyDescent="0.3">
      <c r="A582" s="93" t="s">
        <v>71</v>
      </c>
      <c r="B582" s="94">
        <v>395</v>
      </c>
      <c r="C582" s="95">
        <v>47.37</v>
      </c>
    </row>
    <row r="583" spans="1:3" x14ac:dyDescent="0.3">
      <c r="A583" s="93" t="s">
        <v>71</v>
      </c>
      <c r="B583" s="94">
        <v>396</v>
      </c>
      <c r="C583" s="95">
        <v>47.43</v>
      </c>
    </row>
    <row r="584" spans="1:3" x14ac:dyDescent="0.3">
      <c r="A584" s="93" t="s">
        <v>71</v>
      </c>
      <c r="B584" s="94">
        <v>397</v>
      </c>
      <c r="C584" s="95">
        <v>47.51</v>
      </c>
    </row>
    <row r="585" spans="1:3" x14ac:dyDescent="0.3">
      <c r="A585" s="93" t="s">
        <v>71</v>
      </c>
      <c r="B585" s="94">
        <v>398</v>
      </c>
      <c r="C585" s="95">
        <v>47.59</v>
      </c>
    </row>
    <row r="586" spans="1:3" x14ac:dyDescent="0.3">
      <c r="A586" s="93" t="s">
        <v>71</v>
      </c>
      <c r="B586" s="94">
        <v>399</v>
      </c>
      <c r="C586" s="95">
        <v>47.66</v>
      </c>
    </row>
    <row r="587" spans="1:3" x14ac:dyDescent="0.3">
      <c r="A587" s="93" t="s">
        <v>71</v>
      </c>
      <c r="B587" s="94">
        <v>400</v>
      </c>
      <c r="C587" s="95">
        <v>47.75</v>
      </c>
    </row>
    <row r="588" spans="1:3" x14ac:dyDescent="0.3">
      <c r="A588" s="93" t="s">
        <v>71</v>
      </c>
      <c r="B588" s="94">
        <v>401</v>
      </c>
      <c r="C588" s="95">
        <v>47.83</v>
      </c>
    </row>
    <row r="589" spans="1:3" x14ac:dyDescent="0.3">
      <c r="A589" s="93" t="s">
        <v>71</v>
      </c>
      <c r="B589" s="94">
        <v>402</v>
      </c>
      <c r="C589" s="95">
        <v>47.92</v>
      </c>
    </row>
    <row r="590" spans="1:3" x14ac:dyDescent="0.3">
      <c r="A590" s="93" t="s">
        <v>71</v>
      </c>
      <c r="B590" s="94">
        <v>403</v>
      </c>
      <c r="C590" s="95">
        <v>48.01</v>
      </c>
    </row>
    <row r="591" spans="1:3" x14ac:dyDescent="0.3">
      <c r="A591" s="93" t="s">
        <v>71</v>
      </c>
      <c r="B591" s="94">
        <v>404</v>
      </c>
      <c r="C591" s="95">
        <v>48.09</v>
      </c>
    </row>
    <row r="592" spans="1:3" x14ac:dyDescent="0.3">
      <c r="A592" s="93" t="s">
        <v>71</v>
      </c>
      <c r="B592" s="94">
        <v>405</v>
      </c>
      <c r="C592" s="95">
        <v>48.18</v>
      </c>
    </row>
    <row r="593" spans="1:3" x14ac:dyDescent="0.3">
      <c r="A593" s="93" t="s">
        <v>71</v>
      </c>
      <c r="B593" s="94">
        <v>406</v>
      </c>
      <c r="C593" s="95">
        <v>48.29</v>
      </c>
    </row>
    <row r="594" spans="1:3" x14ac:dyDescent="0.3">
      <c r="A594" s="93" t="s">
        <v>71</v>
      </c>
      <c r="B594" s="94">
        <v>407</v>
      </c>
      <c r="C594" s="95">
        <v>48.38</v>
      </c>
    </row>
    <row r="595" spans="1:3" x14ac:dyDescent="0.3">
      <c r="A595" s="93" t="s">
        <v>71</v>
      </c>
      <c r="B595" s="94">
        <v>408</v>
      </c>
      <c r="C595" s="95">
        <v>48.47</v>
      </c>
    </row>
    <row r="596" spans="1:3" x14ac:dyDescent="0.3">
      <c r="A596" s="93" t="s">
        <v>71</v>
      </c>
      <c r="B596" s="94">
        <v>409</v>
      </c>
      <c r="C596" s="95">
        <v>48.57</v>
      </c>
    </row>
    <row r="597" spans="1:3" x14ac:dyDescent="0.3">
      <c r="A597" s="93" t="s">
        <v>71</v>
      </c>
      <c r="B597" s="94">
        <v>410</v>
      </c>
      <c r="C597" s="95">
        <v>48.69</v>
      </c>
    </row>
    <row r="598" spans="1:3" x14ac:dyDescent="0.3">
      <c r="A598" s="93" t="s">
        <v>71</v>
      </c>
      <c r="B598" s="94">
        <v>411</v>
      </c>
      <c r="C598" s="95">
        <v>48.79</v>
      </c>
    </row>
    <row r="599" spans="1:3" x14ac:dyDescent="0.3">
      <c r="A599" s="93" t="s">
        <v>71</v>
      </c>
      <c r="B599" s="94">
        <v>412</v>
      </c>
      <c r="C599" s="95">
        <v>48.9</v>
      </c>
    </row>
    <row r="600" spans="1:3" x14ac:dyDescent="0.3">
      <c r="A600" s="93" t="s">
        <v>71</v>
      </c>
      <c r="B600" s="94">
        <v>413</v>
      </c>
      <c r="C600" s="95">
        <v>49.02</v>
      </c>
    </row>
    <row r="601" spans="1:3" x14ac:dyDescent="0.3">
      <c r="A601" s="93" t="s">
        <v>71</v>
      </c>
      <c r="B601" s="94">
        <v>414</v>
      </c>
      <c r="C601" s="95">
        <v>49.13</v>
      </c>
    </row>
    <row r="602" spans="1:3" x14ac:dyDescent="0.3">
      <c r="A602" s="93" t="s">
        <v>71</v>
      </c>
      <c r="B602" s="94">
        <v>415</v>
      </c>
      <c r="C602" s="95">
        <v>49.26</v>
      </c>
    </row>
    <row r="603" spans="1:3" x14ac:dyDescent="0.3">
      <c r="A603" s="93" t="s">
        <v>71</v>
      </c>
      <c r="B603" s="94">
        <v>416</v>
      </c>
      <c r="C603" s="95">
        <v>49.39</v>
      </c>
    </row>
    <row r="604" spans="1:3" x14ac:dyDescent="0.3">
      <c r="A604" s="93" t="s">
        <v>71</v>
      </c>
      <c r="B604" s="94">
        <v>417</v>
      </c>
      <c r="C604" s="95">
        <v>49.52</v>
      </c>
    </row>
    <row r="605" spans="1:3" x14ac:dyDescent="0.3">
      <c r="A605" s="93" t="s">
        <v>71</v>
      </c>
      <c r="B605" s="94">
        <v>418</v>
      </c>
      <c r="C605" s="95">
        <v>49.66</v>
      </c>
    </row>
    <row r="606" spans="1:3" x14ac:dyDescent="0.3">
      <c r="A606" s="93" t="s">
        <v>71</v>
      </c>
      <c r="B606" s="94">
        <v>419</v>
      </c>
      <c r="C606" s="95">
        <v>49.79</v>
      </c>
    </row>
    <row r="607" spans="1:3" x14ac:dyDescent="0.3">
      <c r="A607" s="93" t="s">
        <v>71</v>
      </c>
      <c r="B607" s="94">
        <v>420</v>
      </c>
      <c r="C607" s="95">
        <v>49.93</v>
      </c>
    </row>
    <row r="608" spans="1:3" x14ac:dyDescent="0.3">
      <c r="A608" s="93" t="s">
        <v>71</v>
      </c>
      <c r="B608" s="94">
        <v>421</v>
      </c>
      <c r="C608" s="95">
        <v>50.08</v>
      </c>
    </row>
    <row r="609" spans="1:3" x14ac:dyDescent="0.3">
      <c r="A609" s="93" t="s">
        <v>71</v>
      </c>
      <c r="B609" s="94">
        <v>422</v>
      </c>
      <c r="C609" s="95">
        <v>50.24</v>
      </c>
    </row>
    <row r="610" spans="1:3" x14ac:dyDescent="0.3">
      <c r="A610" s="93" t="s">
        <v>71</v>
      </c>
      <c r="B610" s="94">
        <v>423</v>
      </c>
      <c r="C610" s="95">
        <v>50.39</v>
      </c>
    </row>
    <row r="611" spans="1:3" x14ac:dyDescent="0.3">
      <c r="A611" s="93" t="s">
        <v>71</v>
      </c>
      <c r="B611" s="94">
        <v>424</v>
      </c>
      <c r="C611" s="95">
        <v>50.56</v>
      </c>
    </row>
    <row r="612" spans="1:3" x14ac:dyDescent="0.3">
      <c r="A612" s="93" t="s">
        <v>71</v>
      </c>
      <c r="B612" s="94">
        <v>425</v>
      </c>
      <c r="C612" s="95">
        <v>50.74</v>
      </c>
    </row>
    <row r="613" spans="1:3" x14ac:dyDescent="0.3">
      <c r="A613" s="93" t="s">
        <v>71</v>
      </c>
      <c r="B613" s="94">
        <v>426</v>
      </c>
      <c r="C613" s="95">
        <v>50.9</v>
      </c>
    </row>
    <row r="614" spans="1:3" x14ac:dyDescent="0.3">
      <c r="A614" s="93" t="s">
        <v>71</v>
      </c>
      <c r="B614" s="94">
        <v>427</v>
      </c>
      <c r="C614" s="95">
        <v>51.09</v>
      </c>
    </row>
    <row r="615" spans="1:3" x14ac:dyDescent="0.3">
      <c r="A615" s="93" t="s">
        <v>71</v>
      </c>
      <c r="B615" s="94">
        <v>428</v>
      </c>
      <c r="C615" s="95">
        <v>51.26</v>
      </c>
    </row>
    <row r="616" spans="1:3" x14ac:dyDescent="0.3">
      <c r="A616" s="93" t="s">
        <v>71</v>
      </c>
      <c r="B616" s="94">
        <v>429</v>
      </c>
      <c r="C616" s="95">
        <v>51.46</v>
      </c>
    </row>
    <row r="617" spans="1:3" x14ac:dyDescent="0.3">
      <c r="A617" s="93" t="s">
        <v>71</v>
      </c>
      <c r="B617" s="94">
        <v>430</v>
      </c>
      <c r="C617" s="95">
        <v>51.66</v>
      </c>
    </row>
    <row r="618" spans="1:3" x14ac:dyDescent="0.3">
      <c r="A618" s="93" t="s">
        <v>71</v>
      </c>
      <c r="B618" s="94">
        <v>431</v>
      </c>
      <c r="C618" s="95">
        <v>51.86</v>
      </c>
    </row>
    <row r="619" spans="1:3" x14ac:dyDescent="0.3">
      <c r="A619" s="93" t="s">
        <v>71</v>
      </c>
      <c r="B619" s="94">
        <v>432</v>
      </c>
      <c r="C619" s="95">
        <v>52.08</v>
      </c>
    </row>
    <row r="620" spans="1:3" x14ac:dyDescent="0.3">
      <c r="A620" s="93" t="s">
        <v>71</v>
      </c>
      <c r="B620" s="94">
        <v>433</v>
      </c>
      <c r="C620" s="95">
        <v>52.29</v>
      </c>
    </row>
    <row r="621" spans="1:3" x14ac:dyDescent="0.3">
      <c r="A621" s="93" t="s">
        <v>71</v>
      </c>
      <c r="B621" s="94">
        <v>434</v>
      </c>
      <c r="C621" s="95">
        <v>52.51</v>
      </c>
    </row>
    <row r="622" spans="1:3" x14ac:dyDescent="0.3">
      <c r="A622" s="93" t="s">
        <v>71</v>
      </c>
      <c r="B622" s="94">
        <v>435</v>
      </c>
      <c r="C622" s="95">
        <v>52.75</v>
      </c>
    </row>
    <row r="623" spans="1:3" x14ac:dyDescent="0.3">
      <c r="A623" s="93" t="s">
        <v>71</v>
      </c>
      <c r="B623" s="94">
        <v>436</v>
      </c>
      <c r="C623" s="95">
        <v>52.99</v>
      </c>
    </row>
    <row r="624" spans="1:3" x14ac:dyDescent="0.3">
      <c r="A624" s="93" t="s">
        <v>71</v>
      </c>
      <c r="B624" s="94">
        <v>437</v>
      </c>
      <c r="C624" s="95">
        <v>53.24</v>
      </c>
    </row>
    <row r="625" spans="1:3" x14ac:dyDescent="0.3">
      <c r="A625" s="93" t="s">
        <v>71</v>
      </c>
      <c r="B625" s="94">
        <v>438</v>
      </c>
      <c r="C625" s="95">
        <v>53.5</v>
      </c>
    </row>
    <row r="626" spans="1:3" x14ac:dyDescent="0.3">
      <c r="A626" s="93" t="s">
        <v>71</v>
      </c>
      <c r="B626" s="94">
        <v>439</v>
      </c>
      <c r="C626" s="95">
        <v>53.75</v>
      </c>
    </row>
    <row r="627" spans="1:3" x14ac:dyDescent="0.3">
      <c r="A627" s="93" t="s">
        <v>71</v>
      </c>
      <c r="B627" s="94">
        <v>440</v>
      </c>
      <c r="C627" s="95">
        <v>54.02</v>
      </c>
    </row>
    <row r="628" spans="1:3" x14ac:dyDescent="0.3">
      <c r="A628" s="93" t="s">
        <v>71</v>
      </c>
      <c r="B628" s="94">
        <v>441</v>
      </c>
      <c r="C628" s="95">
        <v>54.3</v>
      </c>
    </row>
    <row r="629" spans="1:3" x14ac:dyDescent="0.3">
      <c r="A629" s="93" t="s">
        <v>71</v>
      </c>
      <c r="B629" s="94">
        <v>442</v>
      </c>
      <c r="C629" s="95">
        <v>54.59</v>
      </c>
    </row>
    <row r="630" spans="1:3" x14ac:dyDescent="0.3">
      <c r="A630" s="93" t="s">
        <v>71</v>
      </c>
      <c r="B630" s="94">
        <v>443</v>
      </c>
      <c r="C630" s="95">
        <v>54.89</v>
      </c>
    </row>
    <row r="631" spans="1:3" x14ac:dyDescent="0.3">
      <c r="A631" s="93" t="s">
        <v>71</v>
      </c>
      <c r="B631" s="94">
        <v>444</v>
      </c>
      <c r="C631" s="95">
        <v>55.2</v>
      </c>
    </row>
    <row r="632" spans="1:3" x14ac:dyDescent="0.3">
      <c r="A632" s="93" t="s">
        <v>71</v>
      </c>
      <c r="B632" s="94">
        <v>445</v>
      </c>
      <c r="C632" s="95">
        <v>55.51</v>
      </c>
    </row>
    <row r="633" spans="1:3" x14ac:dyDescent="0.3">
      <c r="A633" s="93" t="s">
        <v>71</v>
      </c>
      <c r="B633" s="94">
        <v>446</v>
      </c>
      <c r="C633" s="95">
        <v>55.84</v>
      </c>
    </row>
    <row r="634" spans="1:3" x14ac:dyDescent="0.3">
      <c r="A634" s="93" t="s">
        <v>71</v>
      </c>
      <c r="B634" s="94">
        <v>447</v>
      </c>
      <c r="C634" s="95">
        <v>56.17</v>
      </c>
    </row>
    <row r="635" spans="1:3" x14ac:dyDescent="0.3">
      <c r="A635" s="93" t="s">
        <v>71</v>
      </c>
      <c r="B635" s="94">
        <v>448</v>
      </c>
      <c r="C635" s="95">
        <v>56.52</v>
      </c>
    </row>
    <row r="636" spans="1:3" x14ac:dyDescent="0.3">
      <c r="A636" s="93" t="s">
        <v>71</v>
      </c>
      <c r="B636" s="94">
        <v>449</v>
      </c>
      <c r="C636" s="95">
        <v>56.88</v>
      </c>
    </row>
    <row r="637" spans="1:3" x14ac:dyDescent="0.3">
      <c r="A637" s="93" t="s">
        <v>71</v>
      </c>
      <c r="B637" s="94">
        <v>450</v>
      </c>
      <c r="C637" s="95">
        <v>57.24</v>
      </c>
    </row>
    <row r="638" spans="1:3" x14ac:dyDescent="0.3">
      <c r="A638" s="93" t="s">
        <v>71</v>
      </c>
      <c r="B638" s="94">
        <v>451</v>
      </c>
      <c r="C638" s="95">
        <v>57.61</v>
      </c>
    </row>
    <row r="639" spans="1:3" x14ac:dyDescent="0.3">
      <c r="A639" s="93" t="s">
        <v>71</v>
      </c>
      <c r="B639" s="94">
        <v>452</v>
      </c>
      <c r="C639" s="95">
        <v>57.99</v>
      </c>
    </row>
    <row r="640" spans="1:3" x14ac:dyDescent="0.3">
      <c r="A640" s="93" t="s">
        <v>71</v>
      </c>
      <c r="B640" s="94">
        <v>453</v>
      </c>
      <c r="C640" s="95">
        <v>58.39</v>
      </c>
    </row>
    <row r="641" spans="1:3" x14ac:dyDescent="0.3">
      <c r="A641" s="93" t="s">
        <v>71</v>
      </c>
      <c r="B641" s="94">
        <v>454</v>
      </c>
      <c r="C641" s="95">
        <v>58.79</v>
      </c>
    </row>
    <row r="642" spans="1:3" x14ac:dyDescent="0.3">
      <c r="A642" s="93" t="s">
        <v>71</v>
      </c>
      <c r="B642" s="94">
        <v>455</v>
      </c>
      <c r="C642" s="95">
        <v>59.2</v>
      </c>
    </row>
    <row r="643" spans="1:3" x14ac:dyDescent="0.3">
      <c r="A643" s="93" t="s">
        <v>71</v>
      </c>
      <c r="B643" s="94">
        <v>456</v>
      </c>
      <c r="C643" s="95">
        <v>59.64</v>
      </c>
    </row>
    <row r="644" spans="1:3" x14ac:dyDescent="0.3">
      <c r="A644" s="93" t="s">
        <v>71</v>
      </c>
      <c r="B644" s="94">
        <v>457</v>
      </c>
      <c r="C644" s="95">
        <v>60.07</v>
      </c>
    </row>
    <row r="645" spans="1:3" x14ac:dyDescent="0.3">
      <c r="A645" s="93" t="s">
        <v>71</v>
      </c>
      <c r="B645" s="94">
        <v>458</v>
      </c>
      <c r="C645" s="95">
        <v>60.52</v>
      </c>
    </row>
    <row r="646" spans="1:3" x14ac:dyDescent="0.3">
      <c r="A646" s="93" t="s">
        <v>71</v>
      </c>
      <c r="B646" s="94">
        <v>459</v>
      </c>
      <c r="C646" s="95">
        <v>60.98</v>
      </c>
    </row>
    <row r="647" spans="1:3" x14ac:dyDescent="0.3">
      <c r="A647" s="93" t="s">
        <v>71</v>
      </c>
      <c r="B647" s="94">
        <v>460</v>
      </c>
      <c r="C647" s="95">
        <v>61.45</v>
      </c>
    </row>
    <row r="648" spans="1:3" x14ac:dyDescent="0.3">
      <c r="A648" s="93" t="s">
        <v>71</v>
      </c>
      <c r="B648" s="94">
        <v>461</v>
      </c>
      <c r="C648" s="95">
        <v>61.92</v>
      </c>
    </row>
    <row r="649" spans="1:3" x14ac:dyDescent="0.3">
      <c r="A649" s="93" t="s">
        <v>71</v>
      </c>
      <c r="B649" s="94">
        <v>462</v>
      </c>
      <c r="C649" s="95">
        <v>62.42</v>
      </c>
    </row>
    <row r="650" spans="1:3" x14ac:dyDescent="0.3">
      <c r="A650" s="93" t="s">
        <v>71</v>
      </c>
      <c r="B650" s="94">
        <v>463</v>
      </c>
      <c r="C650" s="95">
        <v>62.92</v>
      </c>
    </row>
    <row r="651" spans="1:3" x14ac:dyDescent="0.3">
      <c r="A651" s="93" t="s">
        <v>71</v>
      </c>
      <c r="B651" s="94">
        <v>464</v>
      </c>
      <c r="C651" s="95">
        <v>63.43</v>
      </c>
    </row>
    <row r="652" spans="1:3" x14ac:dyDescent="0.3">
      <c r="A652" s="93" t="s">
        <v>71</v>
      </c>
      <c r="B652" s="94">
        <v>465</v>
      </c>
      <c r="C652" s="95">
        <v>63.95</v>
      </c>
    </row>
    <row r="653" spans="1:3" x14ac:dyDescent="0.3">
      <c r="A653" s="93" t="s">
        <v>71</v>
      </c>
      <c r="B653" s="94">
        <v>466</v>
      </c>
      <c r="C653" s="95">
        <v>64.489999999999995</v>
      </c>
    </row>
    <row r="654" spans="1:3" x14ac:dyDescent="0.3">
      <c r="A654" s="93" t="s">
        <v>71</v>
      </c>
      <c r="B654" s="94">
        <v>467</v>
      </c>
      <c r="C654" s="95">
        <v>65.03</v>
      </c>
    </row>
    <row r="655" spans="1:3" x14ac:dyDescent="0.3">
      <c r="A655" s="93" t="s">
        <v>71</v>
      </c>
      <c r="B655" s="94">
        <v>468</v>
      </c>
      <c r="C655" s="95">
        <v>65.58</v>
      </c>
    </row>
    <row r="656" spans="1:3" x14ac:dyDescent="0.3">
      <c r="A656" s="93" t="s">
        <v>71</v>
      </c>
      <c r="B656" s="94">
        <v>469</v>
      </c>
      <c r="C656" s="95">
        <v>66.14</v>
      </c>
    </row>
    <row r="657" spans="1:3" x14ac:dyDescent="0.3">
      <c r="A657" s="93" t="s">
        <v>71</v>
      </c>
      <c r="B657" s="94">
        <v>470</v>
      </c>
      <c r="C657" s="95">
        <v>66.709999999999994</v>
      </c>
    </row>
    <row r="658" spans="1:3" x14ac:dyDescent="0.3">
      <c r="A658" s="93" t="s">
        <v>71</v>
      </c>
      <c r="B658" s="94">
        <v>471</v>
      </c>
      <c r="C658" s="95">
        <v>67.3</v>
      </c>
    </row>
    <row r="659" spans="1:3" x14ac:dyDescent="0.3">
      <c r="A659" s="93" t="s">
        <v>71</v>
      </c>
      <c r="B659" s="94">
        <v>472</v>
      </c>
      <c r="C659" s="95">
        <v>67.89</v>
      </c>
    </row>
    <row r="660" spans="1:3" x14ac:dyDescent="0.3">
      <c r="A660" s="93" t="s">
        <v>71</v>
      </c>
      <c r="B660" s="94">
        <v>473</v>
      </c>
      <c r="C660" s="95">
        <v>68.5</v>
      </c>
    </row>
    <row r="661" spans="1:3" x14ac:dyDescent="0.3">
      <c r="A661" s="93" t="s">
        <v>71</v>
      </c>
      <c r="B661" s="94">
        <v>474</v>
      </c>
      <c r="C661" s="95">
        <v>69.099999999999994</v>
      </c>
    </row>
    <row r="662" spans="1:3" x14ac:dyDescent="0.3">
      <c r="A662" s="93" t="s">
        <v>71</v>
      </c>
      <c r="B662" s="94">
        <v>475</v>
      </c>
      <c r="C662" s="95">
        <v>69.72</v>
      </c>
    </row>
    <row r="663" spans="1:3" x14ac:dyDescent="0.3">
      <c r="A663" s="93" t="s">
        <v>71</v>
      </c>
      <c r="B663" s="94">
        <v>476</v>
      </c>
      <c r="C663" s="95">
        <v>70.349999999999994</v>
      </c>
    </row>
    <row r="664" spans="1:3" x14ac:dyDescent="0.3">
      <c r="A664" s="93" t="s">
        <v>71</v>
      </c>
      <c r="B664" s="94">
        <v>477</v>
      </c>
      <c r="C664" s="95">
        <v>70.98</v>
      </c>
    </row>
    <row r="665" spans="1:3" x14ac:dyDescent="0.3">
      <c r="A665" s="93" t="s">
        <v>71</v>
      </c>
      <c r="B665" s="94">
        <v>478</v>
      </c>
      <c r="C665" s="95">
        <v>71.63</v>
      </c>
    </row>
    <row r="666" spans="1:3" x14ac:dyDescent="0.3">
      <c r="A666" s="93" t="s">
        <v>71</v>
      </c>
      <c r="B666" s="94">
        <v>479</v>
      </c>
      <c r="C666" s="95">
        <v>72.260000000000005</v>
      </c>
    </row>
    <row r="667" spans="1:3" x14ac:dyDescent="0.3">
      <c r="A667" s="93" t="s">
        <v>71</v>
      </c>
      <c r="B667" s="94">
        <v>480</v>
      </c>
      <c r="C667" s="95">
        <v>72.92</v>
      </c>
    </row>
    <row r="668" spans="1:3" x14ac:dyDescent="0.3">
      <c r="A668" s="93" t="s">
        <v>71</v>
      </c>
      <c r="B668" s="94">
        <v>481</v>
      </c>
      <c r="C668" s="95">
        <v>73.59</v>
      </c>
    </row>
    <row r="669" spans="1:3" x14ac:dyDescent="0.3">
      <c r="A669" s="93" t="s">
        <v>71</v>
      </c>
      <c r="B669" s="94">
        <v>482</v>
      </c>
      <c r="C669" s="95">
        <v>74.25</v>
      </c>
    </row>
    <row r="670" spans="1:3" x14ac:dyDescent="0.3">
      <c r="A670" s="93" t="s">
        <v>71</v>
      </c>
      <c r="B670" s="94">
        <v>483</v>
      </c>
      <c r="C670" s="95">
        <v>74.92</v>
      </c>
    </row>
    <row r="671" spans="1:3" x14ac:dyDescent="0.3">
      <c r="A671" s="93" t="s">
        <v>71</v>
      </c>
      <c r="B671" s="94">
        <v>484</v>
      </c>
      <c r="C671" s="95">
        <v>75.599999999999994</v>
      </c>
    </row>
    <row r="672" spans="1:3" x14ac:dyDescent="0.3">
      <c r="A672" s="93" t="s">
        <v>71</v>
      </c>
      <c r="B672" s="94">
        <v>485</v>
      </c>
      <c r="C672" s="95">
        <v>76.27</v>
      </c>
    </row>
    <row r="673" spans="1:3" x14ac:dyDescent="0.3">
      <c r="A673" s="93" t="s">
        <v>71</v>
      </c>
      <c r="B673" s="94">
        <v>486</v>
      </c>
      <c r="C673" s="95">
        <v>76.97</v>
      </c>
    </row>
    <row r="674" spans="1:3" x14ac:dyDescent="0.3">
      <c r="A674" s="93" t="s">
        <v>71</v>
      </c>
      <c r="B674" s="94">
        <v>487</v>
      </c>
      <c r="C674" s="95">
        <v>77.650000000000006</v>
      </c>
    </row>
    <row r="675" spans="1:3" x14ac:dyDescent="0.3">
      <c r="A675" s="93" t="s">
        <v>71</v>
      </c>
      <c r="B675" s="94">
        <v>488</v>
      </c>
      <c r="C675" s="95">
        <v>78.33</v>
      </c>
    </row>
    <row r="676" spans="1:3" x14ac:dyDescent="0.3">
      <c r="A676" s="93" t="s">
        <v>71</v>
      </c>
      <c r="B676" s="94">
        <v>489</v>
      </c>
      <c r="C676" s="95">
        <v>79.02</v>
      </c>
    </row>
    <row r="677" spans="1:3" x14ac:dyDescent="0.3">
      <c r="A677" s="93" t="s">
        <v>71</v>
      </c>
      <c r="B677" s="94">
        <v>490</v>
      </c>
      <c r="C677" s="95">
        <v>79.72</v>
      </c>
    </row>
    <row r="678" spans="1:3" x14ac:dyDescent="0.3">
      <c r="A678" s="93" t="s">
        <v>71</v>
      </c>
      <c r="B678" s="94">
        <v>491</v>
      </c>
      <c r="C678" s="95">
        <v>80.400000000000006</v>
      </c>
    </row>
    <row r="679" spans="1:3" x14ac:dyDescent="0.3">
      <c r="A679" s="93" t="s">
        <v>71</v>
      </c>
      <c r="B679" s="94">
        <v>492</v>
      </c>
      <c r="C679" s="95">
        <v>81.09</v>
      </c>
    </row>
    <row r="680" spans="1:3" x14ac:dyDescent="0.3">
      <c r="A680" s="93" t="s">
        <v>71</v>
      </c>
      <c r="B680" s="94">
        <v>493</v>
      </c>
      <c r="C680" s="95">
        <v>81.790000000000006</v>
      </c>
    </row>
    <row r="681" spans="1:3" x14ac:dyDescent="0.3">
      <c r="A681" s="93" t="s">
        <v>71</v>
      </c>
      <c r="B681" s="94">
        <v>494</v>
      </c>
      <c r="C681" s="95">
        <v>82.47</v>
      </c>
    </row>
    <row r="682" spans="1:3" x14ac:dyDescent="0.3">
      <c r="A682" s="93" t="s">
        <v>71</v>
      </c>
      <c r="B682" s="94">
        <v>495</v>
      </c>
      <c r="C682" s="95">
        <v>83.16</v>
      </c>
    </row>
    <row r="683" spans="1:3" x14ac:dyDescent="0.3">
      <c r="A683" s="93" t="s">
        <v>71</v>
      </c>
      <c r="B683" s="94">
        <v>496</v>
      </c>
      <c r="C683" s="95">
        <v>83.84</v>
      </c>
    </row>
    <row r="684" spans="1:3" x14ac:dyDescent="0.3">
      <c r="A684" s="93" t="s">
        <v>71</v>
      </c>
      <c r="B684" s="94">
        <v>497</v>
      </c>
      <c r="C684" s="95">
        <v>84.51</v>
      </c>
    </row>
    <row r="685" spans="1:3" x14ac:dyDescent="0.3">
      <c r="A685" s="93" t="s">
        <v>71</v>
      </c>
      <c r="B685" s="94">
        <v>498</v>
      </c>
      <c r="C685" s="95">
        <v>85.2</v>
      </c>
    </row>
    <row r="686" spans="1:3" x14ac:dyDescent="0.3">
      <c r="A686" s="93" t="s">
        <v>71</v>
      </c>
      <c r="B686" s="94">
        <v>499</v>
      </c>
      <c r="C686" s="95">
        <v>85.87</v>
      </c>
    </row>
    <row r="687" spans="1:3" x14ac:dyDescent="0.3">
      <c r="A687" s="93" t="s">
        <v>71</v>
      </c>
      <c r="B687" s="94">
        <v>500</v>
      </c>
      <c r="C687" s="95">
        <v>86.53</v>
      </c>
    </row>
    <row r="688" spans="1:3" x14ac:dyDescent="0.3">
      <c r="A688" s="93" t="s">
        <v>71</v>
      </c>
      <c r="B688" s="94">
        <v>501</v>
      </c>
      <c r="C688" s="95">
        <v>87.19</v>
      </c>
    </row>
    <row r="689" spans="1:3" x14ac:dyDescent="0.3">
      <c r="A689" s="93" t="s">
        <v>71</v>
      </c>
      <c r="B689" s="94">
        <v>502</v>
      </c>
      <c r="C689" s="95">
        <v>87.84</v>
      </c>
    </row>
    <row r="690" spans="1:3" x14ac:dyDescent="0.3">
      <c r="A690" s="93" t="s">
        <v>71</v>
      </c>
      <c r="B690" s="94">
        <v>503</v>
      </c>
      <c r="C690" s="95">
        <v>88.5</v>
      </c>
    </row>
    <row r="691" spans="1:3" x14ac:dyDescent="0.3">
      <c r="A691" s="93" t="s">
        <v>71</v>
      </c>
      <c r="B691" s="94">
        <v>504</v>
      </c>
      <c r="C691" s="95">
        <v>89.14</v>
      </c>
    </row>
    <row r="692" spans="1:3" x14ac:dyDescent="0.3">
      <c r="A692" s="93" t="s">
        <v>71</v>
      </c>
      <c r="B692" s="94">
        <v>505</v>
      </c>
      <c r="C692" s="95">
        <v>89.76</v>
      </c>
    </row>
    <row r="693" spans="1:3" x14ac:dyDescent="0.3">
      <c r="A693" s="93" t="s">
        <v>71</v>
      </c>
      <c r="B693" s="94">
        <v>506</v>
      </c>
      <c r="C693" s="95">
        <v>90.38</v>
      </c>
    </row>
    <row r="694" spans="1:3" x14ac:dyDescent="0.3">
      <c r="A694" s="93" t="s">
        <v>71</v>
      </c>
      <c r="B694" s="94">
        <v>507</v>
      </c>
      <c r="C694" s="95">
        <v>91</v>
      </c>
    </row>
    <row r="695" spans="1:3" x14ac:dyDescent="0.3">
      <c r="A695" s="93" t="s">
        <v>71</v>
      </c>
      <c r="B695" s="94">
        <v>508</v>
      </c>
      <c r="C695" s="95">
        <v>91.61</v>
      </c>
    </row>
    <row r="696" spans="1:3" x14ac:dyDescent="0.3">
      <c r="A696" s="93" t="s">
        <v>71</v>
      </c>
      <c r="B696" s="94">
        <v>509</v>
      </c>
      <c r="C696" s="95">
        <v>92.21</v>
      </c>
    </row>
    <row r="697" spans="1:3" x14ac:dyDescent="0.3">
      <c r="A697" s="93" t="s">
        <v>71</v>
      </c>
      <c r="B697" s="94">
        <v>510</v>
      </c>
      <c r="C697" s="95">
        <v>92.78</v>
      </c>
    </row>
    <row r="698" spans="1:3" x14ac:dyDescent="0.3">
      <c r="A698" s="93" t="s">
        <v>71</v>
      </c>
      <c r="B698" s="94">
        <v>511</v>
      </c>
      <c r="C698" s="95">
        <v>93.35</v>
      </c>
    </row>
    <row r="699" spans="1:3" x14ac:dyDescent="0.3">
      <c r="A699" s="93" t="s">
        <v>71</v>
      </c>
      <c r="B699" s="94">
        <v>512</v>
      </c>
      <c r="C699" s="95">
        <v>93.92</v>
      </c>
    </row>
    <row r="700" spans="1:3" x14ac:dyDescent="0.3">
      <c r="A700" s="93" t="s">
        <v>71</v>
      </c>
      <c r="B700" s="94">
        <v>513</v>
      </c>
      <c r="C700" s="95">
        <v>94.47</v>
      </c>
    </row>
    <row r="701" spans="1:3" x14ac:dyDescent="0.3">
      <c r="A701" s="93" t="s">
        <v>71</v>
      </c>
      <c r="B701" s="94">
        <v>514</v>
      </c>
      <c r="C701" s="95">
        <v>95.02</v>
      </c>
    </row>
    <row r="702" spans="1:3" x14ac:dyDescent="0.3">
      <c r="A702" s="93" t="s">
        <v>71</v>
      </c>
      <c r="B702" s="94">
        <v>515</v>
      </c>
      <c r="C702" s="95">
        <v>95.55</v>
      </c>
    </row>
    <row r="703" spans="1:3" x14ac:dyDescent="0.3">
      <c r="A703" s="93" t="s">
        <v>71</v>
      </c>
      <c r="B703" s="94">
        <v>516</v>
      </c>
      <c r="C703" s="95">
        <v>96.07</v>
      </c>
    </row>
    <row r="704" spans="1:3" x14ac:dyDescent="0.3">
      <c r="A704" s="93" t="s">
        <v>71</v>
      </c>
      <c r="B704" s="94">
        <v>517</v>
      </c>
      <c r="C704" s="95">
        <v>96.58</v>
      </c>
    </row>
    <row r="705" spans="1:3" x14ac:dyDescent="0.3">
      <c r="A705" s="93" t="s">
        <v>71</v>
      </c>
      <c r="B705" s="94">
        <v>518</v>
      </c>
      <c r="C705" s="95">
        <v>97.08</v>
      </c>
    </row>
    <row r="706" spans="1:3" x14ac:dyDescent="0.3">
      <c r="A706" s="93" t="s">
        <v>71</v>
      </c>
      <c r="B706" s="94">
        <v>519</v>
      </c>
      <c r="C706" s="95">
        <v>97.56</v>
      </c>
    </row>
    <row r="707" spans="1:3" x14ac:dyDescent="0.3">
      <c r="A707" s="93" t="s">
        <v>71</v>
      </c>
      <c r="B707" s="94">
        <v>520</v>
      </c>
      <c r="C707" s="95">
        <v>98.04</v>
      </c>
    </row>
    <row r="708" spans="1:3" x14ac:dyDescent="0.3">
      <c r="A708" s="93" t="s">
        <v>71</v>
      </c>
      <c r="B708" s="94">
        <v>521</v>
      </c>
      <c r="C708" s="95">
        <v>98.49</v>
      </c>
    </row>
    <row r="709" spans="1:3" x14ac:dyDescent="0.3">
      <c r="A709" s="93" t="s">
        <v>71</v>
      </c>
      <c r="B709" s="94">
        <v>522</v>
      </c>
      <c r="C709" s="95">
        <v>98.94</v>
      </c>
    </row>
    <row r="710" spans="1:3" x14ac:dyDescent="0.3">
      <c r="A710" s="93" t="s">
        <v>71</v>
      </c>
      <c r="B710" s="94">
        <v>523</v>
      </c>
      <c r="C710" s="95">
        <v>99.37</v>
      </c>
    </row>
    <row r="711" spans="1:3" x14ac:dyDescent="0.3">
      <c r="A711" s="93" t="s">
        <v>71</v>
      </c>
      <c r="B711" s="94">
        <v>524</v>
      </c>
      <c r="C711" s="95">
        <v>99.81</v>
      </c>
    </row>
    <row r="712" spans="1:3" x14ac:dyDescent="0.3">
      <c r="A712" s="93" t="s">
        <v>71</v>
      </c>
      <c r="B712" s="94">
        <v>525</v>
      </c>
      <c r="C712" s="95">
        <v>100.21</v>
      </c>
    </row>
    <row r="713" spans="1:3" x14ac:dyDescent="0.3">
      <c r="A713" s="93" t="s">
        <v>71</v>
      </c>
      <c r="B713" s="94">
        <v>526</v>
      </c>
      <c r="C713" s="95">
        <v>100.61</v>
      </c>
    </row>
    <row r="714" spans="1:3" x14ac:dyDescent="0.3">
      <c r="A714" s="93" t="s">
        <v>71</v>
      </c>
      <c r="B714" s="94">
        <v>527</v>
      </c>
      <c r="C714" s="95">
        <v>101</v>
      </c>
    </row>
    <row r="715" spans="1:3" x14ac:dyDescent="0.3">
      <c r="A715" s="93" t="s">
        <v>71</v>
      </c>
      <c r="B715" s="94">
        <v>528</v>
      </c>
      <c r="C715" s="95">
        <v>101.37</v>
      </c>
    </row>
    <row r="716" spans="1:3" x14ac:dyDescent="0.3">
      <c r="A716" s="93" t="s">
        <v>71</v>
      </c>
      <c r="B716" s="94">
        <v>529</v>
      </c>
      <c r="C716" s="95">
        <v>101.73</v>
      </c>
    </row>
    <row r="717" spans="1:3" x14ac:dyDescent="0.3">
      <c r="A717" s="93" t="s">
        <v>71</v>
      </c>
      <c r="B717" s="94">
        <v>530</v>
      </c>
      <c r="C717" s="95">
        <v>102.08</v>
      </c>
    </row>
    <row r="718" spans="1:3" x14ac:dyDescent="0.3">
      <c r="A718" s="93" t="s">
        <v>71</v>
      </c>
      <c r="B718" s="94">
        <v>531</v>
      </c>
      <c r="C718" s="95">
        <v>102.42</v>
      </c>
    </row>
    <row r="719" spans="1:3" x14ac:dyDescent="0.3">
      <c r="A719" s="93" t="s">
        <v>71</v>
      </c>
      <c r="B719" s="94">
        <v>532</v>
      </c>
      <c r="C719" s="95">
        <v>102.75</v>
      </c>
    </row>
    <row r="720" spans="1:3" x14ac:dyDescent="0.3">
      <c r="A720" s="93" t="s">
        <v>71</v>
      </c>
      <c r="B720" s="94">
        <v>533</v>
      </c>
      <c r="C720" s="95">
        <v>103.07</v>
      </c>
    </row>
    <row r="721" spans="1:3" x14ac:dyDescent="0.3">
      <c r="A721" s="93" t="s">
        <v>71</v>
      </c>
      <c r="B721" s="94">
        <v>534</v>
      </c>
      <c r="C721" s="95">
        <v>103.37</v>
      </c>
    </row>
    <row r="722" spans="1:3" x14ac:dyDescent="0.3">
      <c r="A722" s="93" t="s">
        <v>71</v>
      </c>
      <c r="B722" s="94">
        <v>535</v>
      </c>
      <c r="C722" s="95">
        <v>103.67</v>
      </c>
    </row>
    <row r="723" spans="1:3" x14ac:dyDescent="0.3">
      <c r="A723" s="93" t="s">
        <v>71</v>
      </c>
      <c r="B723" s="94">
        <v>536</v>
      </c>
      <c r="C723" s="95">
        <v>103.96</v>
      </c>
    </row>
    <row r="724" spans="1:3" x14ac:dyDescent="0.3">
      <c r="A724" s="93" t="s">
        <v>71</v>
      </c>
      <c r="B724" s="94">
        <v>537</v>
      </c>
      <c r="C724" s="95">
        <v>104.23</v>
      </c>
    </row>
    <row r="725" spans="1:3" x14ac:dyDescent="0.3">
      <c r="A725" s="93" t="s">
        <v>71</v>
      </c>
      <c r="B725" s="94">
        <v>538</v>
      </c>
      <c r="C725" s="95">
        <v>104.49</v>
      </c>
    </row>
    <row r="726" spans="1:3" x14ac:dyDescent="0.3">
      <c r="A726" s="93" t="s">
        <v>71</v>
      </c>
      <c r="B726" s="94">
        <v>539</v>
      </c>
      <c r="C726" s="95">
        <v>104.75</v>
      </c>
    </row>
    <row r="727" spans="1:3" x14ac:dyDescent="0.3">
      <c r="A727" s="93" t="s">
        <v>71</v>
      </c>
      <c r="B727" s="94">
        <v>540</v>
      </c>
      <c r="C727" s="95">
        <v>105</v>
      </c>
    </row>
    <row r="728" spans="1:3" x14ac:dyDescent="0.3">
      <c r="A728" s="93" t="s">
        <v>71</v>
      </c>
      <c r="B728" s="94">
        <v>541</v>
      </c>
      <c r="C728" s="95">
        <v>105.22</v>
      </c>
    </row>
    <row r="729" spans="1:3" x14ac:dyDescent="0.3">
      <c r="A729" s="93" t="s">
        <v>71</v>
      </c>
      <c r="B729" s="94">
        <v>542</v>
      </c>
      <c r="C729" s="95">
        <v>105.45</v>
      </c>
    </row>
    <row r="730" spans="1:3" x14ac:dyDescent="0.3">
      <c r="A730" s="93" t="s">
        <v>71</v>
      </c>
      <c r="B730" s="94">
        <v>543</v>
      </c>
      <c r="C730" s="95">
        <v>105.67</v>
      </c>
    </row>
    <row r="731" spans="1:3" x14ac:dyDescent="0.3">
      <c r="A731" s="93" t="s">
        <v>71</v>
      </c>
      <c r="B731" s="94">
        <v>544</v>
      </c>
      <c r="C731" s="95">
        <v>105.87</v>
      </c>
    </row>
    <row r="732" spans="1:3" x14ac:dyDescent="0.3">
      <c r="A732" s="93" t="s">
        <v>71</v>
      </c>
      <c r="B732" s="94">
        <v>545</v>
      </c>
      <c r="C732" s="95">
        <v>106.07</v>
      </c>
    </row>
    <row r="733" spans="1:3" x14ac:dyDescent="0.3">
      <c r="A733" s="93" t="s">
        <v>71</v>
      </c>
      <c r="B733" s="94">
        <v>546</v>
      </c>
      <c r="C733" s="95">
        <v>106.25</v>
      </c>
    </row>
    <row r="734" spans="1:3" x14ac:dyDescent="0.3">
      <c r="A734" s="93" t="s">
        <v>71</v>
      </c>
      <c r="B734" s="94">
        <v>547</v>
      </c>
      <c r="C734" s="95">
        <v>106.43</v>
      </c>
    </row>
    <row r="735" spans="1:3" x14ac:dyDescent="0.3">
      <c r="A735" s="93" t="s">
        <v>71</v>
      </c>
      <c r="B735" s="94">
        <v>548</v>
      </c>
      <c r="C735" s="95">
        <v>106.61</v>
      </c>
    </row>
    <row r="736" spans="1:3" x14ac:dyDescent="0.3">
      <c r="A736" s="93" t="s">
        <v>71</v>
      </c>
      <c r="B736" s="94">
        <v>549</v>
      </c>
      <c r="C736" s="95">
        <v>106.78</v>
      </c>
    </row>
    <row r="737" spans="1:3" x14ac:dyDescent="0.3">
      <c r="A737" s="93" t="s">
        <v>71</v>
      </c>
      <c r="B737" s="94">
        <v>550</v>
      </c>
      <c r="C737" s="95">
        <v>106.93</v>
      </c>
    </row>
    <row r="738" spans="1:3" x14ac:dyDescent="0.3">
      <c r="A738" s="93" t="s">
        <v>71</v>
      </c>
      <c r="B738" s="94">
        <v>551</v>
      </c>
      <c r="C738" s="95">
        <v>107.09</v>
      </c>
    </row>
    <row r="739" spans="1:3" x14ac:dyDescent="0.3">
      <c r="A739" s="93" t="s">
        <v>71</v>
      </c>
      <c r="B739" s="94">
        <v>552</v>
      </c>
      <c r="C739" s="95">
        <v>107.22</v>
      </c>
    </row>
    <row r="740" spans="1:3" x14ac:dyDescent="0.3">
      <c r="A740" s="93" t="s">
        <v>71</v>
      </c>
      <c r="B740" s="94">
        <v>553</v>
      </c>
      <c r="C740" s="95">
        <v>107.36</v>
      </c>
    </row>
    <row r="741" spans="1:3" x14ac:dyDescent="0.3">
      <c r="A741" s="93" t="s">
        <v>71</v>
      </c>
      <c r="B741" s="94">
        <v>554</v>
      </c>
      <c r="C741" s="95">
        <v>107.49</v>
      </c>
    </row>
    <row r="742" spans="1:3" x14ac:dyDescent="0.3">
      <c r="A742" s="93" t="s">
        <v>71</v>
      </c>
      <c r="B742" s="94">
        <v>555</v>
      </c>
      <c r="C742" s="95">
        <v>107.61</v>
      </c>
    </row>
    <row r="743" spans="1:3" x14ac:dyDescent="0.3">
      <c r="A743" s="93" t="s">
        <v>71</v>
      </c>
      <c r="B743" s="94">
        <v>556</v>
      </c>
      <c r="C743" s="95">
        <v>107.74</v>
      </c>
    </row>
    <row r="744" spans="1:3" x14ac:dyDescent="0.3">
      <c r="A744" s="93" t="s">
        <v>71</v>
      </c>
      <c r="B744" s="94">
        <v>557</v>
      </c>
      <c r="C744" s="95">
        <v>107.84</v>
      </c>
    </row>
    <row r="745" spans="1:3" x14ac:dyDescent="0.3">
      <c r="A745" s="93" t="s">
        <v>71</v>
      </c>
      <c r="B745" s="94">
        <v>558</v>
      </c>
      <c r="C745" s="95">
        <v>107.94</v>
      </c>
    </row>
    <row r="746" spans="1:3" x14ac:dyDescent="0.3">
      <c r="A746" s="93" t="s">
        <v>71</v>
      </c>
      <c r="B746" s="94">
        <v>559</v>
      </c>
      <c r="C746" s="95">
        <v>108.06</v>
      </c>
    </row>
    <row r="747" spans="1:3" x14ac:dyDescent="0.3">
      <c r="A747" s="93" t="s">
        <v>71</v>
      </c>
      <c r="B747" s="94">
        <v>560</v>
      </c>
      <c r="C747" s="95">
        <v>108.15</v>
      </c>
    </row>
    <row r="748" spans="1:3" x14ac:dyDescent="0.3">
      <c r="A748" s="93" t="s">
        <v>71</v>
      </c>
      <c r="B748" s="94">
        <v>561</v>
      </c>
      <c r="C748" s="95">
        <v>108.23</v>
      </c>
    </row>
    <row r="749" spans="1:3" x14ac:dyDescent="0.3">
      <c r="A749" s="93" t="s">
        <v>71</v>
      </c>
      <c r="B749" s="94">
        <v>562</v>
      </c>
      <c r="C749" s="95">
        <v>108.33</v>
      </c>
    </row>
    <row r="750" spans="1:3" x14ac:dyDescent="0.3">
      <c r="A750" s="93" t="s">
        <v>71</v>
      </c>
      <c r="B750" s="94">
        <v>563</v>
      </c>
      <c r="C750" s="95">
        <v>108.41</v>
      </c>
    </row>
    <row r="751" spans="1:3" x14ac:dyDescent="0.3">
      <c r="A751" s="93" t="s">
        <v>71</v>
      </c>
      <c r="B751" s="94">
        <v>564</v>
      </c>
      <c r="C751" s="95">
        <v>108.48</v>
      </c>
    </row>
    <row r="752" spans="1:3" x14ac:dyDescent="0.3">
      <c r="A752" s="93" t="s">
        <v>71</v>
      </c>
      <c r="B752" s="94">
        <v>565</v>
      </c>
      <c r="C752" s="95">
        <v>108.55</v>
      </c>
    </row>
    <row r="753" spans="1:3" x14ac:dyDescent="0.3">
      <c r="A753" s="93" t="s">
        <v>71</v>
      </c>
      <c r="B753" s="94">
        <v>566</v>
      </c>
      <c r="C753" s="95">
        <v>108.63</v>
      </c>
    </row>
    <row r="754" spans="1:3" x14ac:dyDescent="0.3">
      <c r="A754" s="93" t="s">
        <v>71</v>
      </c>
      <c r="B754" s="94">
        <v>567</v>
      </c>
      <c r="C754" s="95">
        <v>108.7</v>
      </c>
    </row>
    <row r="755" spans="1:3" x14ac:dyDescent="0.3">
      <c r="A755" s="93" t="s">
        <v>71</v>
      </c>
      <c r="B755" s="94">
        <v>568</v>
      </c>
      <c r="C755" s="95">
        <v>108.76</v>
      </c>
    </row>
    <row r="756" spans="1:3" x14ac:dyDescent="0.3">
      <c r="A756" s="93" t="s">
        <v>71</v>
      </c>
      <c r="B756" s="94">
        <v>569</v>
      </c>
      <c r="C756" s="95">
        <v>108.82</v>
      </c>
    </row>
    <row r="757" spans="1:3" x14ac:dyDescent="0.3">
      <c r="A757" s="93" t="s">
        <v>72</v>
      </c>
      <c r="B757" s="94">
        <v>344</v>
      </c>
      <c r="C757" s="95">
        <v>15.98</v>
      </c>
    </row>
    <row r="758" spans="1:3" x14ac:dyDescent="0.3">
      <c r="A758" s="93" t="s">
        <v>72</v>
      </c>
      <c r="B758" s="94">
        <v>345</v>
      </c>
      <c r="C758" s="95">
        <v>15.98</v>
      </c>
    </row>
    <row r="759" spans="1:3" x14ac:dyDescent="0.3">
      <c r="A759" s="93" t="s">
        <v>72</v>
      </c>
      <c r="B759" s="94">
        <v>346</v>
      </c>
      <c r="C759" s="95">
        <v>15.98</v>
      </c>
    </row>
    <row r="760" spans="1:3" x14ac:dyDescent="0.3">
      <c r="A760" s="93" t="s">
        <v>72</v>
      </c>
      <c r="B760" s="94">
        <v>347</v>
      </c>
      <c r="C760" s="95">
        <v>15.98</v>
      </c>
    </row>
    <row r="761" spans="1:3" x14ac:dyDescent="0.3">
      <c r="A761" s="93" t="s">
        <v>72</v>
      </c>
      <c r="B761" s="94">
        <v>348</v>
      </c>
      <c r="C761" s="95">
        <v>15.98</v>
      </c>
    </row>
    <row r="762" spans="1:3" x14ac:dyDescent="0.3">
      <c r="A762" s="93" t="s">
        <v>72</v>
      </c>
      <c r="B762" s="94">
        <v>349</v>
      </c>
      <c r="C762" s="95">
        <v>15.98</v>
      </c>
    </row>
    <row r="763" spans="1:3" x14ac:dyDescent="0.3">
      <c r="A763" s="93" t="s">
        <v>72</v>
      </c>
      <c r="B763" s="94">
        <v>350</v>
      </c>
      <c r="C763" s="95">
        <v>15.98</v>
      </c>
    </row>
    <row r="764" spans="1:3" x14ac:dyDescent="0.3">
      <c r="A764" s="93" t="s">
        <v>72</v>
      </c>
      <c r="B764" s="94">
        <v>351</v>
      </c>
      <c r="C764" s="95">
        <v>15.98</v>
      </c>
    </row>
    <row r="765" spans="1:3" x14ac:dyDescent="0.3">
      <c r="A765" s="93" t="s">
        <v>72</v>
      </c>
      <c r="B765" s="94">
        <v>352</v>
      </c>
      <c r="C765" s="95">
        <v>15.98</v>
      </c>
    </row>
    <row r="766" spans="1:3" x14ac:dyDescent="0.3">
      <c r="A766" s="93" t="s">
        <v>72</v>
      </c>
      <c r="B766" s="94">
        <v>353</v>
      </c>
      <c r="C766" s="95">
        <v>15.98</v>
      </c>
    </row>
    <row r="767" spans="1:3" x14ac:dyDescent="0.3">
      <c r="A767" s="93" t="s">
        <v>72</v>
      </c>
      <c r="B767" s="94">
        <v>354</v>
      </c>
      <c r="C767" s="95">
        <v>15.98</v>
      </c>
    </row>
    <row r="768" spans="1:3" x14ac:dyDescent="0.3">
      <c r="A768" s="93" t="s">
        <v>72</v>
      </c>
      <c r="B768" s="94">
        <v>355</v>
      </c>
      <c r="C768" s="95">
        <v>15.98</v>
      </c>
    </row>
    <row r="769" spans="1:3" x14ac:dyDescent="0.3">
      <c r="A769" s="93" t="s">
        <v>72</v>
      </c>
      <c r="B769" s="94">
        <v>356</v>
      </c>
      <c r="C769" s="95">
        <v>15.98</v>
      </c>
    </row>
    <row r="770" spans="1:3" x14ac:dyDescent="0.3">
      <c r="A770" s="93" t="s">
        <v>72</v>
      </c>
      <c r="B770" s="94">
        <v>357</v>
      </c>
      <c r="C770" s="95">
        <v>15.98</v>
      </c>
    </row>
    <row r="771" spans="1:3" x14ac:dyDescent="0.3">
      <c r="A771" s="93" t="s">
        <v>72</v>
      </c>
      <c r="B771" s="94">
        <v>358</v>
      </c>
      <c r="C771" s="95">
        <v>15.98</v>
      </c>
    </row>
    <row r="772" spans="1:3" x14ac:dyDescent="0.3">
      <c r="A772" s="93" t="s">
        <v>72</v>
      </c>
      <c r="B772" s="94">
        <v>359</v>
      </c>
      <c r="C772" s="95">
        <v>15.98</v>
      </c>
    </row>
    <row r="773" spans="1:3" x14ac:dyDescent="0.3">
      <c r="A773" s="93" t="s">
        <v>72</v>
      </c>
      <c r="B773" s="94">
        <v>360</v>
      </c>
      <c r="C773" s="95">
        <v>15.98</v>
      </c>
    </row>
    <row r="774" spans="1:3" x14ac:dyDescent="0.3">
      <c r="A774" s="93" t="s">
        <v>72</v>
      </c>
      <c r="B774" s="94">
        <v>361</v>
      </c>
      <c r="C774" s="95">
        <v>15.98</v>
      </c>
    </row>
    <row r="775" spans="1:3" x14ac:dyDescent="0.3">
      <c r="A775" s="93" t="s">
        <v>72</v>
      </c>
      <c r="B775" s="94">
        <v>362</v>
      </c>
      <c r="C775" s="95">
        <v>15.98</v>
      </c>
    </row>
    <row r="776" spans="1:3" x14ac:dyDescent="0.3">
      <c r="A776" s="93" t="s">
        <v>72</v>
      </c>
      <c r="B776" s="94">
        <v>363</v>
      </c>
      <c r="C776" s="95">
        <v>15.98</v>
      </c>
    </row>
    <row r="777" spans="1:3" x14ac:dyDescent="0.3">
      <c r="A777" s="93" t="s">
        <v>72</v>
      </c>
      <c r="B777" s="94">
        <v>364</v>
      </c>
      <c r="C777" s="95">
        <v>15.98</v>
      </c>
    </row>
    <row r="778" spans="1:3" x14ac:dyDescent="0.3">
      <c r="A778" s="93" t="s">
        <v>72</v>
      </c>
      <c r="B778" s="94">
        <v>365</v>
      </c>
      <c r="C778" s="95">
        <v>15.98</v>
      </c>
    </row>
    <row r="779" spans="1:3" x14ac:dyDescent="0.3">
      <c r="A779" s="93" t="s">
        <v>72</v>
      </c>
      <c r="B779" s="94">
        <v>366</v>
      </c>
      <c r="C779" s="95">
        <v>15.98</v>
      </c>
    </row>
    <row r="780" spans="1:3" x14ac:dyDescent="0.3">
      <c r="A780" s="93" t="s">
        <v>72</v>
      </c>
      <c r="B780" s="94">
        <v>367</v>
      </c>
      <c r="C780" s="95">
        <v>15.98</v>
      </c>
    </row>
    <row r="781" spans="1:3" x14ac:dyDescent="0.3">
      <c r="A781" s="93" t="s">
        <v>72</v>
      </c>
      <c r="B781" s="94">
        <v>368</v>
      </c>
      <c r="C781" s="95">
        <v>15.98</v>
      </c>
    </row>
    <row r="782" spans="1:3" x14ac:dyDescent="0.3">
      <c r="A782" s="93" t="s">
        <v>72</v>
      </c>
      <c r="B782" s="94">
        <v>369</v>
      </c>
      <c r="C782" s="95">
        <v>15.98</v>
      </c>
    </row>
    <row r="783" spans="1:3" x14ac:dyDescent="0.3">
      <c r="A783" s="93" t="s">
        <v>72</v>
      </c>
      <c r="B783" s="94">
        <v>370</v>
      </c>
      <c r="C783" s="95">
        <v>15.98</v>
      </c>
    </row>
    <row r="784" spans="1:3" x14ac:dyDescent="0.3">
      <c r="A784" s="93" t="s">
        <v>72</v>
      </c>
      <c r="B784" s="94">
        <v>371</v>
      </c>
      <c r="C784" s="95">
        <v>15.98</v>
      </c>
    </row>
    <row r="785" spans="1:3" x14ac:dyDescent="0.3">
      <c r="A785" s="93" t="s">
        <v>72</v>
      </c>
      <c r="B785" s="94">
        <v>372</v>
      </c>
      <c r="C785" s="95">
        <v>15.98</v>
      </c>
    </row>
    <row r="786" spans="1:3" x14ac:dyDescent="0.3">
      <c r="A786" s="93" t="s">
        <v>72</v>
      </c>
      <c r="B786" s="94">
        <v>373</v>
      </c>
      <c r="C786" s="95">
        <v>15.98</v>
      </c>
    </row>
    <row r="787" spans="1:3" x14ac:dyDescent="0.3">
      <c r="A787" s="93" t="s">
        <v>72</v>
      </c>
      <c r="B787" s="94">
        <v>374</v>
      </c>
      <c r="C787" s="95">
        <v>15.98</v>
      </c>
    </row>
    <row r="788" spans="1:3" x14ac:dyDescent="0.3">
      <c r="A788" s="93" t="s">
        <v>72</v>
      </c>
      <c r="B788" s="94">
        <v>375</v>
      </c>
      <c r="C788" s="95">
        <v>15.98</v>
      </c>
    </row>
    <row r="789" spans="1:3" x14ac:dyDescent="0.3">
      <c r="A789" s="93" t="s">
        <v>72</v>
      </c>
      <c r="B789" s="94">
        <v>376</v>
      </c>
      <c r="C789" s="95">
        <v>15.98</v>
      </c>
    </row>
    <row r="790" spans="1:3" x14ac:dyDescent="0.3">
      <c r="A790" s="93" t="s">
        <v>72</v>
      </c>
      <c r="B790" s="94">
        <v>377</v>
      </c>
      <c r="C790" s="95">
        <v>15.98</v>
      </c>
    </row>
    <row r="791" spans="1:3" x14ac:dyDescent="0.3">
      <c r="A791" s="93" t="s">
        <v>72</v>
      </c>
      <c r="B791" s="94">
        <v>378</v>
      </c>
      <c r="C791" s="95">
        <v>15.98</v>
      </c>
    </row>
    <row r="792" spans="1:3" x14ac:dyDescent="0.3">
      <c r="A792" s="93" t="s">
        <v>72</v>
      </c>
      <c r="B792" s="94">
        <v>379</v>
      </c>
      <c r="C792" s="95">
        <v>15.98</v>
      </c>
    </row>
    <row r="793" spans="1:3" x14ac:dyDescent="0.3">
      <c r="A793" s="93" t="s">
        <v>72</v>
      </c>
      <c r="B793" s="94">
        <v>380</v>
      </c>
      <c r="C793" s="95">
        <v>16.02</v>
      </c>
    </row>
    <row r="794" spans="1:3" x14ac:dyDescent="0.3">
      <c r="A794" s="93" t="s">
        <v>72</v>
      </c>
      <c r="B794" s="94">
        <v>381</v>
      </c>
      <c r="C794" s="95">
        <v>16.04</v>
      </c>
    </row>
    <row r="795" spans="1:3" x14ac:dyDescent="0.3">
      <c r="A795" s="93" t="s">
        <v>72</v>
      </c>
      <c r="B795" s="94">
        <v>382</v>
      </c>
      <c r="C795" s="95">
        <v>16.07</v>
      </c>
    </row>
    <row r="796" spans="1:3" x14ac:dyDescent="0.3">
      <c r="A796" s="93" t="s">
        <v>72</v>
      </c>
      <c r="B796" s="94">
        <v>383</v>
      </c>
      <c r="C796" s="95">
        <v>16.09</v>
      </c>
    </row>
    <row r="797" spans="1:3" x14ac:dyDescent="0.3">
      <c r="A797" s="93" t="s">
        <v>72</v>
      </c>
      <c r="B797" s="94">
        <v>384</v>
      </c>
      <c r="C797" s="95">
        <v>16.12</v>
      </c>
    </row>
    <row r="798" spans="1:3" x14ac:dyDescent="0.3">
      <c r="A798" s="93" t="s">
        <v>72</v>
      </c>
      <c r="B798" s="94">
        <v>385</v>
      </c>
      <c r="C798" s="95">
        <v>16.149999999999999</v>
      </c>
    </row>
    <row r="799" spans="1:3" x14ac:dyDescent="0.3">
      <c r="A799" s="93" t="s">
        <v>72</v>
      </c>
      <c r="B799" s="94">
        <v>386</v>
      </c>
      <c r="C799" s="95">
        <v>16.170000000000002</v>
      </c>
    </row>
    <row r="800" spans="1:3" x14ac:dyDescent="0.3">
      <c r="A800" s="93" t="s">
        <v>72</v>
      </c>
      <c r="B800" s="94">
        <v>387</v>
      </c>
      <c r="C800" s="95">
        <v>16.2</v>
      </c>
    </row>
    <row r="801" spans="1:3" x14ac:dyDescent="0.3">
      <c r="A801" s="93" t="s">
        <v>72</v>
      </c>
      <c r="B801" s="94">
        <v>388</v>
      </c>
      <c r="C801" s="95">
        <v>16.23</v>
      </c>
    </row>
    <row r="802" spans="1:3" x14ac:dyDescent="0.3">
      <c r="A802" s="93" t="s">
        <v>72</v>
      </c>
      <c r="B802" s="94">
        <v>389</v>
      </c>
      <c r="C802" s="95">
        <v>16.25</v>
      </c>
    </row>
    <row r="803" spans="1:3" x14ac:dyDescent="0.3">
      <c r="A803" s="93" t="s">
        <v>72</v>
      </c>
      <c r="B803" s="94">
        <v>390</v>
      </c>
      <c r="C803" s="95">
        <v>16.28</v>
      </c>
    </row>
    <row r="804" spans="1:3" x14ac:dyDescent="0.3">
      <c r="A804" s="93" t="s">
        <v>72</v>
      </c>
      <c r="B804" s="94">
        <v>391</v>
      </c>
      <c r="C804" s="95">
        <v>16.329999999999998</v>
      </c>
    </row>
    <row r="805" spans="1:3" x14ac:dyDescent="0.3">
      <c r="A805" s="93" t="s">
        <v>72</v>
      </c>
      <c r="B805" s="94">
        <v>392</v>
      </c>
      <c r="C805" s="95">
        <v>16.36</v>
      </c>
    </row>
    <row r="806" spans="1:3" x14ac:dyDescent="0.3">
      <c r="A806" s="93" t="s">
        <v>72</v>
      </c>
      <c r="B806" s="94">
        <v>393</v>
      </c>
      <c r="C806" s="95">
        <v>16.39</v>
      </c>
    </row>
    <row r="807" spans="1:3" x14ac:dyDescent="0.3">
      <c r="A807" s="93" t="s">
        <v>72</v>
      </c>
      <c r="B807" s="94">
        <v>394</v>
      </c>
      <c r="C807" s="95">
        <v>16.420000000000002</v>
      </c>
    </row>
    <row r="808" spans="1:3" x14ac:dyDescent="0.3">
      <c r="A808" s="93" t="s">
        <v>72</v>
      </c>
      <c r="B808" s="94">
        <v>395</v>
      </c>
      <c r="C808" s="95">
        <v>16.45</v>
      </c>
    </row>
    <row r="809" spans="1:3" x14ac:dyDescent="0.3">
      <c r="A809" s="93" t="s">
        <v>72</v>
      </c>
      <c r="B809" s="94">
        <v>396</v>
      </c>
      <c r="C809" s="95">
        <v>16.48</v>
      </c>
    </row>
    <row r="810" spans="1:3" x14ac:dyDescent="0.3">
      <c r="A810" s="93" t="s">
        <v>72</v>
      </c>
      <c r="B810" s="94">
        <v>397</v>
      </c>
      <c r="C810" s="95">
        <v>16.510000000000002</v>
      </c>
    </row>
    <row r="811" spans="1:3" x14ac:dyDescent="0.3">
      <c r="A811" s="93" t="s">
        <v>72</v>
      </c>
      <c r="B811" s="94">
        <v>398</v>
      </c>
      <c r="C811" s="95">
        <v>16.54</v>
      </c>
    </row>
    <row r="812" spans="1:3" x14ac:dyDescent="0.3">
      <c r="A812" s="93" t="s">
        <v>72</v>
      </c>
      <c r="B812" s="94">
        <v>399</v>
      </c>
      <c r="C812" s="95">
        <v>16.579999999999998</v>
      </c>
    </row>
    <row r="813" spans="1:3" x14ac:dyDescent="0.3">
      <c r="A813" s="93" t="s">
        <v>72</v>
      </c>
      <c r="B813" s="94">
        <v>400</v>
      </c>
      <c r="C813" s="95">
        <v>16.62</v>
      </c>
    </row>
    <row r="814" spans="1:3" x14ac:dyDescent="0.3">
      <c r="A814" s="93" t="s">
        <v>72</v>
      </c>
      <c r="B814" s="94">
        <v>401</v>
      </c>
      <c r="C814" s="95">
        <v>16.670000000000002</v>
      </c>
    </row>
    <row r="815" spans="1:3" x14ac:dyDescent="0.3">
      <c r="A815" s="93" t="s">
        <v>72</v>
      </c>
      <c r="B815" s="94">
        <v>402</v>
      </c>
      <c r="C815" s="95">
        <v>16.7</v>
      </c>
    </row>
    <row r="816" spans="1:3" x14ac:dyDescent="0.3">
      <c r="A816" s="93" t="s">
        <v>72</v>
      </c>
      <c r="B816" s="94">
        <v>403</v>
      </c>
      <c r="C816" s="95">
        <v>16.739999999999998</v>
      </c>
    </row>
    <row r="817" spans="1:3" x14ac:dyDescent="0.3">
      <c r="A817" s="93" t="s">
        <v>72</v>
      </c>
      <c r="B817" s="94">
        <v>404</v>
      </c>
      <c r="C817" s="95">
        <v>16.78</v>
      </c>
    </row>
    <row r="818" spans="1:3" x14ac:dyDescent="0.3">
      <c r="A818" s="93" t="s">
        <v>72</v>
      </c>
      <c r="B818" s="94">
        <v>405</v>
      </c>
      <c r="C818" s="95">
        <v>16.82</v>
      </c>
    </row>
    <row r="819" spans="1:3" x14ac:dyDescent="0.3">
      <c r="A819" s="93" t="s">
        <v>72</v>
      </c>
      <c r="B819" s="94">
        <v>406</v>
      </c>
      <c r="C819" s="95">
        <v>16.86</v>
      </c>
    </row>
    <row r="820" spans="1:3" x14ac:dyDescent="0.3">
      <c r="A820" s="93" t="s">
        <v>72</v>
      </c>
      <c r="B820" s="94">
        <v>407</v>
      </c>
      <c r="C820" s="95">
        <v>16.91</v>
      </c>
    </row>
    <row r="821" spans="1:3" x14ac:dyDescent="0.3">
      <c r="A821" s="93" t="s">
        <v>72</v>
      </c>
      <c r="B821" s="94">
        <v>408</v>
      </c>
      <c r="C821" s="95">
        <v>16.95</v>
      </c>
    </row>
    <row r="822" spans="1:3" x14ac:dyDescent="0.3">
      <c r="A822" s="93" t="s">
        <v>72</v>
      </c>
      <c r="B822" s="94">
        <v>409</v>
      </c>
      <c r="C822" s="95">
        <v>17</v>
      </c>
    </row>
    <row r="823" spans="1:3" x14ac:dyDescent="0.3">
      <c r="A823" s="93" t="s">
        <v>72</v>
      </c>
      <c r="B823" s="94">
        <v>410</v>
      </c>
      <c r="C823" s="95">
        <v>17.05</v>
      </c>
    </row>
    <row r="824" spans="1:3" x14ac:dyDescent="0.3">
      <c r="A824" s="93" t="s">
        <v>72</v>
      </c>
      <c r="B824" s="94">
        <v>411</v>
      </c>
      <c r="C824" s="95">
        <v>17.09</v>
      </c>
    </row>
    <row r="825" spans="1:3" x14ac:dyDescent="0.3">
      <c r="A825" s="93" t="s">
        <v>72</v>
      </c>
      <c r="B825" s="94">
        <v>412</v>
      </c>
      <c r="C825" s="95">
        <v>17.14</v>
      </c>
    </row>
    <row r="826" spans="1:3" x14ac:dyDescent="0.3">
      <c r="A826" s="93" t="s">
        <v>72</v>
      </c>
      <c r="B826" s="94">
        <v>413</v>
      </c>
      <c r="C826" s="95">
        <v>17.190000000000001</v>
      </c>
    </row>
    <row r="827" spans="1:3" x14ac:dyDescent="0.3">
      <c r="A827" s="93" t="s">
        <v>72</v>
      </c>
      <c r="B827" s="94">
        <v>414</v>
      </c>
      <c r="C827" s="95">
        <v>17.25</v>
      </c>
    </row>
    <row r="828" spans="1:3" x14ac:dyDescent="0.3">
      <c r="A828" s="93" t="s">
        <v>72</v>
      </c>
      <c r="B828" s="94">
        <v>415</v>
      </c>
      <c r="C828" s="95">
        <v>17.3</v>
      </c>
    </row>
    <row r="829" spans="1:3" x14ac:dyDescent="0.3">
      <c r="A829" s="93" t="s">
        <v>72</v>
      </c>
      <c r="B829" s="94">
        <v>416</v>
      </c>
      <c r="C829" s="95">
        <v>17.37</v>
      </c>
    </row>
    <row r="830" spans="1:3" x14ac:dyDescent="0.3">
      <c r="A830" s="93" t="s">
        <v>72</v>
      </c>
      <c r="B830" s="94">
        <v>417</v>
      </c>
      <c r="C830" s="95">
        <v>17.420000000000002</v>
      </c>
    </row>
    <row r="831" spans="1:3" x14ac:dyDescent="0.3">
      <c r="A831" s="93" t="s">
        <v>72</v>
      </c>
      <c r="B831" s="94">
        <v>418</v>
      </c>
      <c r="C831" s="95">
        <v>17.48</v>
      </c>
    </row>
    <row r="832" spans="1:3" x14ac:dyDescent="0.3">
      <c r="A832" s="93" t="s">
        <v>72</v>
      </c>
      <c r="B832" s="94">
        <v>419</v>
      </c>
      <c r="C832" s="95">
        <v>17.55</v>
      </c>
    </row>
    <row r="833" spans="1:3" x14ac:dyDescent="0.3">
      <c r="A833" s="93" t="s">
        <v>72</v>
      </c>
      <c r="B833" s="94">
        <v>420</v>
      </c>
      <c r="C833" s="95">
        <v>17.61</v>
      </c>
    </row>
    <row r="834" spans="1:3" x14ac:dyDescent="0.3">
      <c r="A834" s="93" t="s">
        <v>72</v>
      </c>
      <c r="B834" s="94">
        <v>421</v>
      </c>
      <c r="C834" s="95">
        <v>17.670000000000002</v>
      </c>
    </row>
    <row r="835" spans="1:3" x14ac:dyDescent="0.3">
      <c r="A835" s="93" t="s">
        <v>72</v>
      </c>
      <c r="B835" s="94">
        <v>422</v>
      </c>
      <c r="C835" s="95">
        <v>17.739999999999998</v>
      </c>
    </row>
    <row r="836" spans="1:3" x14ac:dyDescent="0.3">
      <c r="A836" s="93" t="s">
        <v>72</v>
      </c>
      <c r="B836" s="94">
        <v>423</v>
      </c>
      <c r="C836" s="95">
        <v>17.809999999999999</v>
      </c>
    </row>
    <row r="837" spans="1:3" x14ac:dyDescent="0.3">
      <c r="A837" s="93" t="s">
        <v>72</v>
      </c>
      <c r="B837" s="94">
        <v>424</v>
      </c>
      <c r="C837" s="95">
        <v>17.89</v>
      </c>
    </row>
    <row r="838" spans="1:3" x14ac:dyDescent="0.3">
      <c r="A838" s="93" t="s">
        <v>72</v>
      </c>
      <c r="B838" s="94">
        <v>425</v>
      </c>
      <c r="C838" s="95">
        <v>17.96</v>
      </c>
    </row>
    <row r="839" spans="1:3" x14ac:dyDescent="0.3">
      <c r="A839" s="93" t="s">
        <v>72</v>
      </c>
      <c r="B839" s="94">
        <v>426</v>
      </c>
      <c r="C839" s="95">
        <v>18.05</v>
      </c>
    </row>
    <row r="840" spans="1:3" x14ac:dyDescent="0.3">
      <c r="A840" s="93" t="s">
        <v>72</v>
      </c>
      <c r="B840" s="94">
        <v>427</v>
      </c>
      <c r="C840" s="95">
        <v>18.13</v>
      </c>
    </row>
    <row r="841" spans="1:3" x14ac:dyDescent="0.3">
      <c r="A841" s="93" t="s">
        <v>72</v>
      </c>
      <c r="B841" s="94">
        <v>428</v>
      </c>
      <c r="C841" s="95">
        <v>18.21</v>
      </c>
    </row>
    <row r="842" spans="1:3" x14ac:dyDescent="0.3">
      <c r="A842" s="93" t="s">
        <v>72</v>
      </c>
      <c r="B842" s="94">
        <v>429</v>
      </c>
      <c r="C842" s="95">
        <v>18.29</v>
      </c>
    </row>
    <row r="843" spans="1:3" x14ac:dyDescent="0.3">
      <c r="A843" s="93" t="s">
        <v>72</v>
      </c>
      <c r="B843" s="94">
        <v>430</v>
      </c>
      <c r="C843" s="95">
        <v>18.38</v>
      </c>
    </row>
    <row r="844" spans="1:3" x14ac:dyDescent="0.3">
      <c r="A844" s="93" t="s">
        <v>72</v>
      </c>
      <c r="B844" s="94">
        <v>431</v>
      </c>
      <c r="C844" s="95">
        <v>18.48</v>
      </c>
    </row>
    <row r="845" spans="1:3" x14ac:dyDescent="0.3">
      <c r="A845" s="93" t="s">
        <v>72</v>
      </c>
      <c r="B845" s="94">
        <v>432</v>
      </c>
      <c r="C845" s="95">
        <v>18.57</v>
      </c>
    </row>
    <row r="846" spans="1:3" x14ac:dyDescent="0.3">
      <c r="A846" s="93" t="s">
        <v>72</v>
      </c>
      <c r="B846" s="94">
        <v>433</v>
      </c>
      <c r="C846" s="95">
        <v>18.66</v>
      </c>
    </row>
    <row r="847" spans="1:3" x14ac:dyDescent="0.3">
      <c r="A847" s="93" t="s">
        <v>72</v>
      </c>
      <c r="B847" s="94">
        <v>434</v>
      </c>
      <c r="C847" s="95">
        <v>18.78</v>
      </c>
    </row>
    <row r="848" spans="1:3" x14ac:dyDescent="0.3">
      <c r="A848" s="93" t="s">
        <v>72</v>
      </c>
      <c r="B848" s="94">
        <v>435</v>
      </c>
      <c r="C848" s="95">
        <v>18.88</v>
      </c>
    </row>
    <row r="849" spans="1:3" x14ac:dyDescent="0.3">
      <c r="A849" s="93" t="s">
        <v>72</v>
      </c>
      <c r="B849" s="94">
        <v>436</v>
      </c>
      <c r="C849" s="95">
        <v>18.98</v>
      </c>
    </row>
    <row r="850" spans="1:3" x14ac:dyDescent="0.3">
      <c r="A850" s="93" t="s">
        <v>72</v>
      </c>
      <c r="B850" s="94">
        <v>437</v>
      </c>
      <c r="C850" s="95">
        <v>19.100000000000001</v>
      </c>
    </row>
    <row r="851" spans="1:3" x14ac:dyDescent="0.3">
      <c r="A851" s="93" t="s">
        <v>72</v>
      </c>
      <c r="B851" s="94">
        <v>438</v>
      </c>
      <c r="C851" s="95">
        <v>19.21</v>
      </c>
    </row>
    <row r="852" spans="1:3" x14ac:dyDescent="0.3">
      <c r="A852" s="93" t="s">
        <v>72</v>
      </c>
      <c r="B852" s="94">
        <v>439</v>
      </c>
      <c r="C852" s="95">
        <v>19.32</v>
      </c>
    </row>
    <row r="853" spans="1:3" x14ac:dyDescent="0.3">
      <c r="A853" s="93" t="s">
        <v>72</v>
      </c>
      <c r="B853" s="94">
        <v>440</v>
      </c>
      <c r="C853" s="95">
        <v>19.45</v>
      </c>
    </row>
    <row r="854" spans="1:3" x14ac:dyDescent="0.3">
      <c r="A854" s="93" t="s">
        <v>72</v>
      </c>
      <c r="B854" s="94">
        <v>441</v>
      </c>
      <c r="C854" s="95">
        <v>19.57</v>
      </c>
    </row>
    <row r="855" spans="1:3" x14ac:dyDescent="0.3">
      <c r="A855" s="93" t="s">
        <v>72</v>
      </c>
      <c r="B855" s="94">
        <v>442</v>
      </c>
      <c r="C855" s="95">
        <v>19.7</v>
      </c>
    </row>
    <row r="856" spans="1:3" x14ac:dyDescent="0.3">
      <c r="A856" s="93" t="s">
        <v>72</v>
      </c>
      <c r="B856" s="94">
        <v>443</v>
      </c>
      <c r="C856" s="95">
        <v>19.84</v>
      </c>
    </row>
    <row r="857" spans="1:3" x14ac:dyDescent="0.3">
      <c r="A857" s="93" t="s">
        <v>72</v>
      </c>
      <c r="B857" s="94">
        <v>444</v>
      </c>
      <c r="C857" s="95">
        <v>19.98</v>
      </c>
    </row>
    <row r="858" spans="1:3" x14ac:dyDescent="0.3">
      <c r="A858" s="93" t="s">
        <v>72</v>
      </c>
      <c r="B858" s="94">
        <v>445</v>
      </c>
      <c r="C858" s="95">
        <v>20.12</v>
      </c>
    </row>
    <row r="859" spans="1:3" x14ac:dyDescent="0.3">
      <c r="A859" s="93" t="s">
        <v>72</v>
      </c>
      <c r="B859" s="94">
        <v>446</v>
      </c>
      <c r="C859" s="95">
        <v>20.27</v>
      </c>
    </row>
    <row r="860" spans="1:3" x14ac:dyDescent="0.3">
      <c r="A860" s="93" t="s">
        <v>72</v>
      </c>
      <c r="B860" s="94">
        <v>447</v>
      </c>
      <c r="C860" s="95">
        <v>20.41</v>
      </c>
    </row>
    <row r="861" spans="1:3" x14ac:dyDescent="0.3">
      <c r="A861" s="93" t="s">
        <v>72</v>
      </c>
      <c r="B861" s="94">
        <v>448</v>
      </c>
      <c r="C861" s="95">
        <v>20.58</v>
      </c>
    </row>
    <row r="862" spans="1:3" x14ac:dyDescent="0.3">
      <c r="A862" s="93" t="s">
        <v>72</v>
      </c>
      <c r="B862" s="94">
        <v>449</v>
      </c>
      <c r="C862" s="95">
        <v>20.73</v>
      </c>
    </row>
    <row r="863" spans="1:3" x14ac:dyDescent="0.3">
      <c r="A863" s="93" t="s">
        <v>72</v>
      </c>
      <c r="B863" s="94">
        <v>450</v>
      </c>
      <c r="C863" s="95">
        <v>20.9</v>
      </c>
    </row>
    <row r="864" spans="1:3" x14ac:dyDescent="0.3">
      <c r="A864" s="93" t="s">
        <v>72</v>
      </c>
      <c r="B864" s="94">
        <v>451</v>
      </c>
      <c r="C864" s="95">
        <v>21.06</v>
      </c>
    </row>
    <row r="865" spans="1:3" x14ac:dyDescent="0.3">
      <c r="A865" s="93" t="s">
        <v>72</v>
      </c>
      <c r="B865" s="94">
        <v>452</v>
      </c>
      <c r="C865" s="95">
        <v>21.24</v>
      </c>
    </row>
    <row r="866" spans="1:3" x14ac:dyDescent="0.3">
      <c r="A866" s="93" t="s">
        <v>72</v>
      </c>
      <c r="B866" s="94">
        <v>453</v>
      </c>
      <c r="C866" s="95">
        <v>21.41</v>
      </c>
    </row>
    <row r="867" spans="1:3" x14ac:dyDescent="0.3">
      <c r="A867" s="93" t="s">
        <v>72</v>
      </c>
      <c r="B867" s="94">
        <v>454</v>
      </c>
      <c r="C867" s="95">
        <v>21.6</v>
      </c>
    </row>
    <row r="868" spans="1:3" x14ac:dyDescent="0.3">
      <c r="A868" s="93" t="s">
        <v>72</v>
      </c>
      <c r="B868" s="94">
        <v>455</v>
      </c>
      <c r="C868" s="95">
        <v>21.78</v>
      </c>
    </row>
    <row r="869" spans="1:3" x14ac:dyDescent="0.3">
      <c r="A869" s="93" t="s">
        <v>72</v>
      </c>
      <c r="B869" s="94">
        <v>456</v>
      </c>
      <c r="C869" s="95">
        <v>21.97</v>
      </c>
    </row>
    <row r="870" spans="1:3" x14ac:dyDescent="0.3">
      <c r="A870" s="93" t="s">
        <v>72</v>
      </c>
      <c r="B870" s="94">
        <v>457</v>
      </c>
      <c r="C870" s="95">
        <v>22.18</v>
      </c>
    </row>
    <row r="871" spans="1:3" x14ac:dyDescent="0.3">
      <c r="A871" s="93" t="s">
        <v>72</v>
      </c>
      <c r="B871" s="94">
        <v>458</v>
      </c>
      <c r="C871" s="95">
        <v>22.36</v>
      </c>
    </row>
    <row r="872" spans="1:3" x14ac:dyDescent="0.3">
      <c r="A872" s="93" t="s">
        <v>72</v>
      </c>
      <c r="B872" s="94">
        <v>459</v>
      </c>
      <c r="C872" s="95">
        <v>22.58</v>
      </c>
    </row>
    <row r="873" spans="1:3" x14ac:dyDescent="0.3">
      <c r="A873" s="93" t="s">
        <v>72</v>
      </c>
      <c r="B873" s="94">
        <v>460</v>
      </c>
      <c r="C873" s="95">
        <v>22.79</v>
      </c>
    </row>
    <row r="874" spans="1:3" x14ac:dyDescent="0.3">
      <c r="A874" s="93" t="s">
        <v>72</v>
      </c>
      <c r="B874" s="94">
        <v>461</v>
      </c>
      <c r="C874" s="95">
        <v>23.01</v>
      </c>
    </row>
    <row r="875" spans="1:3" x14ac:dyDescent="0.3">
      <c r="A875" s="93" t="s">
        <v>72</v>
      </c>
      <c r="B875" s="94">
        <v>462</v>
      </c>
      <c r="C875" s="95">
        <v>23.23</v>
      </c>
    </row>
    <row r="876" spans="1:3" x14ac:dyDescent="0.3">
      <c r="A876" s="93" t="s">
        <v>72</v>
      </c>
      <c r="B876" s="94">
        <v>463</v>
      </c>
      <c r="C876" s="95">
        <v>23.45</v>
      </c>
    </row>
    <row r="877" spans="1:3" x14ac:dyDescent="0.3">
      <c r="A877" s="93" t="s">
        <v>72</v>
      </c>
      <c r="B877" s="94">
        <v>464</v>
      </c>
      <c r="C877" s="95">
        <v>23.68</v>
      </c>
    </row>
    <row r="878" spans="1:3" x14ac:dyDescent="0.3">
      <c r="A878" s="93" t="s">
        <v>72</v>
      </c>
      <c r="B878" s="94">
        <v>465</v>
      </c>
      <c r="C878" s="95">
        <v>23.92</v>
      </c>
    </row>
    <row r="879" spans="1:3" x14ac:dyDescent="0.3">
      <c r="A879" s="93" t="s">
        <v>72</v>
      </c>
      <c r="B879" s="94">
        <v>466</v>
      </c>
      <c r="C879" s="95">
        <v>24.15</v>
      </c>
    </row>
    <row r="880" spans="1:3" x14ac:dyDescent="0.3">
      <c r="A880" s="93" t="s">
        <v>72</v>
      </c>
      <c r="B880" s="94">
        <v>467</v>
      </c>
      <c r="C880" s="95">
        <v>24.4</v>
      </c>
    </row>
    <row r="881" spans="1:3" x14ac:dyDescent="0.3">
      <c r="A881" s="93" t="s">
        <v>72</v>
      </c>
      <c r="B881" s="94">
        <v>468</v>
      </c>
      <c r="C881" s="95">
        <v>24.65</v>
      </c>
    </row>
    <row r="882" spans="1:3" x14ac:dyDescent="0.3">
      <c r="A882" s="93" t="s">
        <v>72</v>
      </c>
      <c r="B882" s="94">
        <v>469</v>
      </c>
      <c r="C882" s="95">
        <v>24.91</v>
      </c>
    </row>
    <row r="883" spans="1:3" x14ac:dyDescent="0.3">
      <c r="A883" s="93" t="s">
        <v>72</v>
      </c>
      <c r="B883" s="94">
        <v>470</v>
      </c>
      <c r="C883" s="95">
        <v>25.16</v>
      </c>
    </row>
    <row r="884" spans="1:3" x14ac:dyDescent="0.3">
      <c r="A884" s="93" t="s">
        <v>72</v>
      </c>
      <c r="B884" s="94">
        <v>471</v>
      </c>
      <c r="C884" s="95">
        <v>25.42</v>
      </c>
    </row>
    <row r="885" spans="1:3" x14ac:dyDescent="0.3">
      <c r="A885" s="93" t="s">
        <v>72</v>
      </c>
      <c r="B885" s="94">
        <v>472</v>
      </c>
      <c r="C885" s="95">
        <v>25.69</v>
      </c>
    </row>
    <row r="886" spans="1:3" x14ac:dyDescent="0.3">
      <c r="A886" s="93" t="s">
        <v>72</v>
      </c>
      <c r="B886" s="94">
        <v>473</v>
      </c>
      <c r="C886" s="95">
        <v>25.96</v>
      </c>
    </row>
    <row r="887" spans="1:3" x14ac:dyDescent="0.3">
      <c r="A887" s="93" t="s">
        <v>72</v>
      </c>
      <c r="B887" s="94">
        <v>474</v>
      </c>
      <c r="C887" s="95">
        <v>26.23</v>
      </c>
    </row>
    <row r="888" spans="1:3" x14ac:dyDescent="0.3">
      <c r="A888" s="93" t="s">
        <v>72</v>
      </c>
      <c r="B888" s="94">
        <v>475</v>
      </c>
      <c r="C888" s="95">
        <v>26.51</v>
      </c>
    </row>
    <row r="889" spans="1:3" x14ac:dyDescent="0.3">
      <c r="A889" s="93" t="s">
        <v>72</v>
      </c>
      <c r="B889" s="94">
        <v>476</v>
      </c>
      <c r="C889" s="95">
        <v>26.8</v>
      </c>
    </row>
    <row r="890" spans="1:3" x14ac:dyDescent="0.3">
      <c r="A890" s="93" t="s">
        <v>72</v>
      </c>
      <c r="B890" s="94">
        <v>477</v>
      </c>
      <c r="C890" s="95">
        <v>27.08</v>
      </c>
    </row>
    <row r="891" spans="1:3" x14ac:dyDescent="0.3">
      <c r="A891" s="93" t="s">
        <v>72</v>
      </c>
      <c r="B891" s="94">
        <v>478</v>
      </c>
      <c r="C891" s="95">
        <v>27.38</v>
      </c>
    </row>
    <row r="892" spans="1:3" x14ac:dyDescent="0.3">
      <c r="A892" s="93" t="s">
        <v>72</v>
      </c>
      <c r="B892" s="94">
        <v>479</v>
      </c>
      <c r="C892" s="95">
        <v>27.67</v>
      </c>
    </row>
    <row r="893" spans="1:3" x14ac:dyDescent="0.3">
      <c r="A893" s="93" t="s">
        <v>72</v>
      </c>
      <c r="B893" s="94">
        <v>480</v>
      </c>
      <c r="C893" s="95">
        <v>27.96</v>
      </c>
    </row>
    <row r="894" spans="1:3" x14ac:dyDescent="0.3">
      <c r="A894" s="93" t="s">
        <v>72</v>
      </c>
      <c r="B894" s="94">
        <v>481</v>
      </c>
      <c r="C894" s="95">
        <v>28.25</v>
      </c>
    </row>
    <row r="895" spans="1:3" x14ac:dyDescent="0.3">
      <c r="A895" s="93" t="s">
        <v>72</v>
      </c>
      <c r="B895" s="94">
        <v>482</v>
      </c>
      <c r="C895" s="95">
        <v>28.56</v>
      </c>
    </row>
    <row r="896" spans="1:3" x14ac:dyDescent="0.3">
      <c r="A896" s="93" t="s">
        <v>72</v>
      </c>
      <c r="B896" s="94">
        <v>483</v>
      </c>
      <c r="C896" s="95">
        <v>28.86</v>
      </c>
    </row>
    <row r="897" spans="1:3" x14ac:dyDescent="0.3">
      <c r="A897" s="93" t="s">
        <v>72</v>
      </c>
      <c r="B897" s="94">
        <v>484</v>
      </c>
      <c r="C897" s="95">
        <v>29.16</v>
      </c>
    </row>
    <row r="898" spans="1:3" x14ac:dyDescent="0.3">
      <c r="A898" s="93" t="s">
        <v>72</v>
      </c>
      <c r="B898" s="94">
        <v>485</v>
      </c>
      <c r="C898" s="95">
        <v>29.47</v>
      </c>
    </row>
    <row r="899" spans="1:3" x14ac:dyDescent="0.3">
      <c r="A899" s="93" t="s">
        <v>72</v>
      </c>
      <c r="B899" s="94">
        <v>486</v>
      </c>
      <c r="C899" s="95">
        <v>29.78</v>
      </c>
    </row>
    <row r="900" spans="1:3" x14ac:dyDescent="0.3">
      <c r="A900" s="93" t="s">
        <v>72</v>
      </c>
      <c r="B900" s="94">
        <v>487</v>
      </c>
      <c r="C900" s="95">
        <v>30.09</v>
      </c>
    </row>
    <row r="901" spans="1:3" x14ac:dyDescent="0.3">
      <c r="A901" s="93" t="s">
        <v>72</v>
      </c>
      <c r="B901" s="94">
        <v>488</v>
      </c>
      <c r="C901" s="95">
        <v>30.4</v>
      </c>
    </row>
    <row r="902" spans="1:3" x14ac:dyDescent="0.3">
      <c r="A902" s="93" t="s">
        <v>72</v>
      </c>
      <c r="B902" s="94">
        <v>489</v>
      </c>
      <c r="C902" s="95">
        <v>30.7</v>
      </c>
    </row>
    <row r="903" spans="1:3" x14ac:dyDescent="0.3">
      <c r="A903" s="93" t="s">
        <v>72</v>
      </c>
      <c r="B903" s="94">
        <v>490</v>
      </c>
      <c r="C903" s="95">
        <v>31.01</v>
      </c>
    </row>
    <row r="904" spans="1:3" x14ac:dyDescent="0.3">
      <c r="A904" s="93" t="s">
        <v>72</v>
      </c>
      <c r="B904" s="94">
        <v>491</v>
      </c>
      <c r="C904" s="95">
        <v>31.32</v>
      </c>
    </row>
    <row r="905" spans="1:3" x14ac:dyDescent="0.3">
      <c r="A905" s="93" t="s">
        <v>72</v>
      </c>
      <c r="B905" s="94">
        <v>492</v>
      </c>
      <c r="C905" s="95">
        <v>31.64</v>
      </c>
    </row>
    <row r="906" spans="1:3" x14ac:dyDescent="0.3">
      <c r="A906" s="93" t="s">
        <v>72</v>
      </c>
      <c r="B906" s="94">
        <v>493</v>
      </c>
      <c r="C906" s="95">
        <v>31.95</v>
      </c>
    </row>
    <row r="907" spans="1:3" x14ac:dyDescent="0.3">
      <c r="A907" s="93" t="s">
        <v>72</v>
      </c>
      <c r="B907" s="94">
        <v>494</v>
      </c>
      <c r="C907" s="95">
        <v>32.26</v>
      </c>
    </row>
    <row r="908" spans="1:3" x14ac:dyDescent="0.3">
      <c r="A908" s="93" t="s">
        <v>72</v>
      </c>
      <c r="B908" s="94">
        <v>495</v>
      </c>
      <c r="C908" s="95">
        <v>32.57</v>
      </c>
    </row>
    <row r="909" spans="1:3" x14ac:dyDescent="0.3">
      <c r="A909" s="93" t="s">
        <v>72</v>
      </c>
      <c r="B909" s="94">
        <v>496</v>
      </c>
      <c r="C909" s="95">
        <v>32.869999999999997</v>
      </c>
    </row>
    <row r="910" spans="1:3" x14ac:dyDescent="0.3">
      <c r="A910" s="93" t="s">
        <v>72</v>
      </c>
      <c r="B910" s="94">
        <v>497</v>
      </c>
      <c r="C910" s="95">
        <v>33.18</v>
      </c>
    </row>
    <row r="911" spans="1:3" x14ac:dyDescent="0.3">
      <c r="A911" s="93" t="s">
        <v>72</v>
      </c>
      <c r="B911" s="94">
        <v>498</v>
      </c>
      <c r="C911" s="95">
        <v>33.49</v>
      </c>
    </row>
    <row r="912" spans="1:3" x14ac:dyDescent="0.3">
      <c r="A912" s="93" t="s">
        <v>72</v>
      </c>
      <c r="B912" s="94">
        <v>499</v>
      </c>
      <c r="C912" s="95">
        <v>33.78</v>
      </c>
    </row>
    <row r="913" spans="1:3" x14ac:dyDescent="0.3">
      <c r="A913" s="93" t="s">
        <v>72</v>
      </c>
      <c r="B913" s="94">
        <v>500</v>
      </c>
      <c r="C913" s="95">
        <v>34.08</v>
      </c>
    </row>
    <row r="914" spans="1:3" x14ac:dyDescent="0.3">
      <c r="A914" s="93" t="s">
        <v>72</v>
      </c>
      <c r="B914" s="94">
        <v>501</v>
      </c>
      <c r="C914" s="95">
        <v>34.380000000000003</v>
      </c>
    </row>
    <row r="915" spans="1:3" x14ac:dyDescent="0.3">
      <c r="A915" s="93" t="s">
        <v>72</v>
      </c>
      <c r="B915" s="94">
        <v>502</v>
      </c>
      <c r="C915" s="95">
        <v>34.67</v>
      </c>
    </row>
    <row r="916" spans="1:3" x14ac:dyDescent="0.3">
      <c r="A916" s="93" t="s">
        <v>72</v>
      </c>
      <c r="B916" s="94">
        <v>503</v>
      </c>
      <c r="C916" s="95">
        <v>34.97</v>
      </c>
    </row>
    <row r="917" spans="1:3" x14ac:dyDescent="0.3">
      <c r="A917" s="93" t="s">
        <v>72</v>
      </c>
      <c r="B917" s="94">
        <v>504</v>
      </c>
      <c r="C917" s="95">
        <v>35.26</v>
      </c>
    </row>
    <row r="918" spans="1:3" x14ac:dyDescent="0.3">
      <c r="A918" s="93" t="s">
        <v>72</v>
      </c>
      <c r="B918" s="94">
        <v>505</v>
      </c>
      <c r="C918" s="95">
        <v>35.54</v>
      </c>
    </row>
    <row r="919" spans="1:3" x14ac:dyDescent="0.3">
      <c r="A919" s="93" t="s">
        <v>72</v>
      </c>
      <c r="B919" s="94">
        <v>506</v>
      </c>
      <c r="C919" s="95">
        <v>35.82</v>
      </c>
    </row>
    <row r="920" spans="1:3" x14ac:dyDescent="0.3">
      <c r="A920" s="93" t="s">
        <v>72</v>
      </c>
      <c r="B920" s="94">
        <v>507</v>
      </c>
      <c r="C920" s="95">
        <v>36.1</v>
      </c>
    </row>
    <row r="921" spans="1:3" x14ac:dyDescent="0.3">
      <c r="A921" s="93" t="s">
        <v>72</v>
      </c>
      <c r="B921" s="94">
        <v>508</v>
      </c>
      <c r="C921" s="95">
        <v>36.36</v>
      </c>
    </row>
    <row r="922" spans="1:3" x14ac:dyDescent="0.3">
      <c r="A922" s="93" t="s">
        <v>72</v>
      </c>
      <c r="B922" s="94">
        <v>509</v>
      </c>
      <c r="C922" s="95">
        <v>36.630000000000003</v>
      </c>
    </row>
    <row r="923" spans="1:3" x14ac:dyDescent="0.3">
      <c r="A923" s="93" t="s">
        <v>72</v>
      </c>
      <c r="B923" s="94">
        <v>510</v>
      </c>
      <c r="C923" s="95">
        <v>36.89</v>
      </c>
    </row>
    <row r="924" spans="1:3" x14ac:dyDescent="0.3">
      <c r="A924" s="93" t="s">
        <v>72</v>
      </c>
      <c r="B924" s="94">
        <v>511</v>
      </c>
      <c r="C924" s="95">
        <v>37.15</v>
      </c>
    </row>
    <row r="925" spans="1:3" x14ac:dyDescent="0.3">
      <c r="A925" s="93" t="s">
        <v>72</v>
      </c>
      <c r="B925" s="94">
        <v>512</v>
      </c>
      <c r="C925" s="95">
        <v>37.409999999999997</v>
      </c>
    </row>
    <row r="926" spans="1:3" x14ac:dyDescent="0.3">
      <c r="A926" s="93" t="s">
        <v>72</v>
      </c>
      <c r="B926" s="94">
        <v>513</v>
      </c>
      <c r="C926" s="95">
        <v>37.67</v>
      </c>
    </row>
    <row r="927" spans="1:3" x14ac:dyDescent="0.3">
      <c r="A927" s="93" t="s">
        <v>72</v>
      </c>
      <c r="B927" s="94">
        <v>514</v>
      </c>
      <c r="C927" s="95">
        <v>37.89</v>
      </c>
    </row>
    <row r="928" spans="1:3" x14ac:dyDescent="0.3">
      <c r="A928" s="93" t="s">
        <v>72</v>
      </c>
      <c r="B928" s="94">
        <v>515</v>
      </c>
      <c r="C928" s="95">
        <v>38.14</v>
      </c>
    </row>
    <row r="929" spans="1:3" x14ac:dyDescent="0.3">
      <c r="A929" s="93" t="s">
        <v>72</v>
      </c>
      <c r="B929" s="94">
        <v>516</v>
      </c>
      <c r="C929" s="95">
        <v>38.380000000000003</v>
      </c>
    </row>
    <row r="930" spans="1:3" x14ac:dyDescent="0.3">
      <c r="A930" s="93" t="s">
        <v>72</v>
      </c>
      <c r="B930" s="94">
        <v>517</v>
      </c>
      <c r="C930" s="95">
        <v>38.6</v>
      </c>
    </row>
    <row r="931" spans="1:3" x14ac:dyDescent="0.3">
      <c r="A931" s="93" t="s">
        <v>72</v>
      </c>
      <c r="B931" s="94">
        <v>518</v>
      </c>
      <c r="C931" s="95">
        <v>38.82</v>
      </c>
    </row>
    <row r="932" spans="1:3" x14ac:dyDescent="0.3">
      <c r="A932" s="93" t="s">
        <v>72</v>
      </c>
      <c r="B932" s="94">
        <v>519</v>
      </c>
      <c r="C932" s="95">
        <v>39.049999999999997</v>
      </c>
    </row>
    <row r="933" spans="1:3" x14ac:dyDescent="0.3">
      <c r="A933" s="93" t="s">
        <v>72</v>
      </c>
      <c r="B933" s="94">
        <v>520</v>
      </c>
      <c r="C933" s="95">
        <v>39.26</v>
      </c>
    </row>
    <row r="934" spans="1:3" x14ac:dyDescent="0.3">
      <c r="A934" s="93" t="s">
        <v>72</v>
      </c>
      <c r="B934" s="94">
        <v>521</v>
      </c>
      <c r="C934" s="95">
        <v>39.47</v>
      </c>
    </row>
    <row r="935" spans="1:3" x14ac:dyDescent="0.3">
      <c r="A935" s="93" t="s">
        <v>72</v>
      </c>
      <c r="B935" s="94">
        <v>522</v>
      </c>
      <c r="C935" s="95">
        <v>39.67</v>
      </c>
    </row>
    <row r="936" spans="1:3" x14ac:dyDescent="0.3">
      <c r="A936" s="93" t="s">
        <v>72</v>
      </c>
      <c r="B936" s="94">
        <v>523</v>
      </c>
      <c r="C936" s="95">
        <v>39.86</v>
      </c>
    </row>
    <row r="937" spans="1:3" x14ac:dyDescent="0.3">
      <c r="A937" s="93" t="s">
        <v>72</v>
      </c>
      <c r="B937" s="94">
        <v>524</v>
      </c>
      <c r="C937" s="95">
        <v>40.049999999999997</v>
      </c>
    </row>
    <row r="938" spans="1:3" x14ac:dyDescent="0.3">
      <c r="A938" s="93" t="s">
        <v>72</v>
      </c>
      <c r="B938" s="94">
        <v>525</v>
      </c>
      <c r="C938" s="95">
        <v>40.24</v>
      </c>
    </row>
    <row r="939" spans="1:3" x14ac:dyDescent="0.3">
      <c r="A939" s="93" t="s">
        <v>72</v>
      </c>
      <c r="B939" s="94">
        <v>526</v>
      </c>
      <c r="C939" s="95">
        <v>40.43</v>
      </c>
    </row>
    <row r="940" spans="1:3" x14ac:dyDescent="0.3">
      <c r="A940" s="93" t="s">
        <v>72</v>
      </c>
      <c r="B940" s="94">
        <v>527</v>
      </c>
      <c r="C940" s="95">
        <v>40.590000000000003</v>
      </c>
    </row>
    <row r="941" spans="1:3" x14ac:dyDescent="0.3">
      <c r="A941" s="93" t="s">
        <v>72</v>
      </c>
      <c r="B941" s="94">
        <v>528</v>
      </c>
      <c r="C941" s="95">
        <v>40.770000000000003</v>
      </c>
    </row>
    <row r="942" spans="1:3" x14ac:dyDescent="0.3">
      <c r="A942" s="93" t="s">
        <v>72</v>
      </c>
      <c r="B942" s="94">
        <v>529</v>
      </c>
      <c r="C942" s="95">
        <v>40.92</v>
      </c>
    </row>
    <row r="943" spans="1:3" x14ac:dyDescent="0.3">
      <c r="A943" s="93" t="s">
        <v>72</v>
      </c>
      <c r="B943" s="94">
        <v>530</v>
      </c>
      <c r="C943" s="95">
        <v>41.09</v>
      </c>
    </row>
    <row r="944" spans="1:3" x14ac:dyDescent="0.3">
      <c r="A944" s="93" t="s">
        <v>72</v>
      </c>
      <c r="B944" s="94">
        <v>531</v>
      </c>
      <c r="C944" s="95">
        <v>41.23</v>
      </c>
    </row>
    <row r="945" spans="1:3" x14ac:dyDescent="0.3">
      <c r="A945" s="93" t="s">
        <v>72</v>
      </c>
      <c r="B945" s="94">
        <v>532</v>
      </c>
      <c r="C945" s="95">
        <v>41.39</v>
      </c>
    </row>
    <row r="946" spans="1:3" x14ac:dyDescent="0.3">
      <c r="A946" s="93" t="s">
        <v>72</v>
      </c>
      <c r="B946" s="94">
        <v>533</v>
      </c>
      <c r="C946" s="95">
        <v>41.53</v>
      </c>
    </row>
    <row r="947" spans="1:3" x14ac:dyDescent="0.3">
      <c r="A947" s="93" t="s">
        <v>72</v>
      </c>
      <c r="B947" s="94">
        <v>534</v>
      </c>
      <c r="C947" s="95">
        <v>41.66</v>
      </c>
    </row>
    <row r="948" spans="1:3" x14ac:dyDescent="0.3">
      <c r="A948" s="93" t="s">
        <v>72</v>
      </c>
      <c r="B948" s="94">
        <v>535</v>
      </c>
      <c r="C948" s="95">
        <v>41.8</v>
      </c>
    </row>
    <row r="949" spans="1:3" x14ac:dyDescent="0.3">
      <c r="A949" s="93" t="s">
        <v>72</v>
      </c>
      <c r="B949" s="94">
        <v>536</v>
      </c>
      <c r="C949" s="95">
        <v>41.93</v>
      </c>
    </row>
    <row r="950" spans="1:3" x14ac:dyDescent="0.3">
      <c r="A950" s="93" t="s">
        <v>72</v>
      </c>
      <c r="B950" s="94">
        <v>537</v>
      </c>
      <c r="C950" s="95">
        <v>42.04</v>
      </c>
    </row>
    <row r="951" spans="1:3" x14ac:dyDescent="0.3">
      <c r="A951" s="93" t="s">
        <v>72</v>
      </c>
      <c r="B951" s="94">
        <v>538</v>
      </c>
      <c r="C951" s="95">
        <v>42.17</v>
      </c>
    </row>
    <row r="952" spans="1:3" x14ac:dyDescent="0.3">
      <c r="A952" s="93" t="s">
        <v>72</v>
      </c>
      <c r="B952" s="94">
        <v>539</v>
      </c>
      <c r="C952" s="95">
        <v>42.28</v>
      </c>
    </row>
    <row r="953" spans="1:3" x14ac:dyDescent="0.3">
      <c r="A953" s="93" t="s">
        <v>72</v>
      </c>
      <c r="B953" s="94">
        <v>540</v>
      </c>
      <c r="C953" s="95">
        <v>42.39</v>
      </c>
    </row>
    <row r="954" spans="1:3" x14ac:dyDescent="0.3">
      <c r="A954" s="93" t="s">
        <v>72</v>
      </c>
      <c r="B954" s="94">
        <v>541</v>
      </c>
      <c r="C954" s="95">
        <v>42.5</v>
      </c>
    </row>
    <row r="955" spans="1:3" x14ac:dyDescent="0.3">
      <c r="A955" s="93" t="s">
        <v>72</v>
      </c>
      <c r="B955" s="94">
        <v>542</v>
      </c>
      <c r="C955" s="95">
        <v>42.6</v>
      </c>
    </row>
    <row r="956" spans="1:3" x14ac:dyDescent="0.3">
      <c r="A956" s="93" t="s">
        <v>72</v>
      </c>
      <c r="B956" s="94">
        <v>543</v>
      </c>
      <c r="C956" s="95">
        <v>42.69</v>
      </c>
    </row>
    <row r="957" spans="1:3" x14ac:dyDescent="0.3">
      <c r="A957" s="93" t="s">
        <v>72</v>
      </c>
      <c r="B957" s="94">
        <v>544</v>
      </c>
      <c r="C957" s="95">
        <v>42.79</v>
      </c>
    </row>
    <row r="958" spans="1:3" x14ac:dyDescent="0.3">
      <c r="A958" s="93" t="s">
        <v>72</v>
      </c>
      <c r="B958" s="94">
        <v>545</v>
      </c>
      <c r="C958" s="95">
        <v>42.88</v>
      </c>
    </row>
    <row r="959" spans="1:3" x14ac:dyDescent="0.3">
      <c r="A959" s="93" t="s">
        <v>72</v>
      </c>
      <c r="B959" s="94">
        <v>546</v>
      </c>
      <c r="C959" s="95">
        <v>42.96</v>
      </c>
    </row>
    <row r="960" spans="1:3" x14ac:dyDescent="0.3">
      <c r="A960" s="93" t="s">
        <v>72</v>
      </c>
      <c r="B960" s="94">
        <v>547</v>
      </c>
      <c r="C960" s="95">
        <v>43.04</v>
      </c>
    </row>
    <row r="961" spans="1:3" x14ac:dyDescent="0.3">
      <c r="A961" s="93" t="s">
        <v>72</v>
      </c>
      <c r="B961" s="94">
        <v>548</v>
      </c>
      <c r="C961" s="95">
        <v>43.13</v>
      </c>
    </row>
    <row r="962" spans="1:3" x14ac:dyDescent="0.3">
      <c r="A962" s="93" t="s">
        <v>72</v>
      </c>
      <c r="B962" s="94">
        <v>549</v>
      </c>
      <c r="C962" s="95">
        <v>43.2</v>
      </c>
    </row>
    <row r="963" spans="1:3" x14ac:dyDescent="0.3">
      <c r="A963" s="93" t="s">
        <v>72</v>
      </c>
      <c r="B963" s="94">
        <v>550</v>
      </c>
      <c r="C963" s="95">
        <v>43.26</v>
      </c>
    </row>
    <row r="964" spans="1:3" x14ac:dyDescent="0.3">
      <c r="A964" s="93" t="s">
        <v>72</v>
      </c>
      <c r="B964" s="94">
        <v>551</v>
      </c>
      <c r="C964" s="95">
        <v>43.33</v>
      </c>
    </row>
    <row r="965" spans="1:3" x14ac:dyDescent="0.3">
      <c r="A965" s="93" t="s">
        <v>72</v>
      </c>
      <c r="B965" s="94">
        <v>552</v>
      </c>
      <c r="C965" s="95">
        <v>43.39</v>
      </c>
    </row>
    <row r="966" spans="1:3" x14ac:dyDescent="0.3">
      <c r="A966" s="93" t="s">
        <v>72</v>
      </c>
      <c r="B966" s="94">
        <v>553</v>
      </c>
      <c r="C966" s="95">
        <v>43.47</v>
      </c>
    </row>
    <row r="967" spans="1:3" x14ac:dyDescent="0.3">
      <c r="A967" s="93" t="s">
        <v>72</v>
      </c>
      <c r="B967" s="94">
        <v>554</v>
      </c>
      <c r="C967" s="95">
        <v>43.52</v>
      </c>
    </row>
    <row r="968" spans="1:3" x14ac:dyDescent="0.3">
      <c r="A968" s="93" t="s">
        <v>72</v>
      </c>
      <c r="B968" s="94">
        <v>555</v>
      </c>
      <c r="C968" s="95">
        <v>43.57</v>
      </c>
    </row>
    <row r="969" spans="1:3" x14ac:dyDescent="0.3">
      <c r="A969" s="93" t="s">
        <v>72</v>
      </c>
      <c r="B969" s="94">
        <v>556</v>
      </c>
      <c r="C969" s="95">
        <v>43.62</v>
      </c>
    </row>
    <row r="970" spans="1:3" x14ac:dyDescent="0.3">
      <c r="A970" s="93" t="s">
        <v>72</v>
      </c>
      <c r="B970" s="94">
        <v>557</v>
      </c>
      <c r="C970" s="95">
        <v>43.67</v>
      </c>
    </row>
    <row r="971" spans="1:3" x14ac:dyDescent="0.3">
      <c r="A971" s="93" t="s">
        <v>72</v>
      </c>
      <c r="B971" s="94">
        <v>558</v>
      </c>
      <c r="C971" s="95">
        <v>43.72</v>
      </c>
    </row>
    <row r="972" spans="1:3" x14ac:dyDescent="0.3">
      <c r="A972" s="93" t="s">
        <v>72</v>
      </c>
      <c r="B972" s="94">
        <v>559</v>
      </c>
      <c r="C972" s="95">
        <v>43.78</v>
      </c>
    </row>
    <row r="973" spans="1:3" x14ac:dyDescent="0.3">
      <c r="A973" s="93" t="s">
        <v>72</v>
      </c>
      <c r="B973" s="94">
        <v>560</v>
      </c>
      <c r="C973" s="95">
        <v>43.82</v>
      </c>
    </row>
    <row r="974" spans="1:3" x14ac:dyDescent="0.3">
      <c r="A974" s="93" t="s">
        <v>72</v>
      </c>
      <c r="B974" s="94">
        <v>561</v>
      </c>
      <c r="C974" s="95">
        <v>43.86</v>
      </c>
    </row>
    <row r="975" spans="1:3" x14ac:dyDescent="0.3">
      <c r="A975" s="93" t="s">
        <v>72</v>
      </c>
      <c r="B975" s="94">
        <v>562</v>
      </c>
      <c r="C975" s="95">
        <v>43.89</v>
      </c>
    </row>
    <row r="976" spans="1:3" x14ac:dyDescent="0.3">
      <c r="A976" s="93" t="s">
        <v>72</v>
      </c>
      <c r="B976" s="94">
        <v>563</v>
      </c>
      <c r="C976" s="95">
        <v>43.93</v>
      </c>
    </row>
    <row r="977" spans="1:3" x14ac:dyDescent="0.3">
      <c r="A977" s="93" t="s">
        <v>72</v>
      </c>
      <c r="B977" s="94">
        <v>564</v>
      </c>
      <c r="C977" s="95">
        <v>43.96</v>
      </c>
    </row>
    <row r="978" spans="1:3" x14ac:dyDescent="0.3">
      <c r="A978" s="93" t="s">
        <v>72</v>
      </c>
      <c r="B978" s="94">
        <v>565</v>
      </c>
      <c r="C978" s="95">
        <v>43.99</v>
      </c>
    </row>
    <row r="979" spans="1:3" x14ac:dyDescent="0.3">
      <c r="A979" s="93" t="s">
        <v>72</v>
      </c>
      <c r="B979" s="94">
        <v>566</v>
      </c>
      <c r="C979" s="95">
        <v>44.03</v>
      </c>
    </row>
    <row r="980" spans="1:3" x14ac:dyDescent="0.3">
      <c r="A980" s="93" t="s">
        <v>72</v>
      </c>
      <c r="B980" s="94">
        <v>567</v>
      </c>
      <c r="C980" s="95">
        <v>44.06</v>
      </c>
    </row>
    <row r="981" spans="1:3" x14ac:dyDescent="0.3">
      <c r="A981" s="93" t="s">
        <v>72</v>
      </c>
      <c r="B981" s="94">
        <v>568</v>
      </c>
      <c r="C981" s="95">
        <v>44.09</v>
      </c>
    </row>
    <row r="982" spans="1:3" x14ac:dyDescent="0.3">
      <c r="A982" s="96" t="s">
        <v>72</v>
      </c>
      <c r="B982" s="97">
        <v>569</v>
      </c>
      <c r="C982" s="62">
        <v>44.11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41D2E-9DF7-49C7-8FCC-4A99323A18F6}">
  <sheetPr>
    <tabColor theme="5" tint="-0.249977111117893"/>
  </sheetPr>
  <dimension ref="A1:F17"/>
  <sheetViews>
    <sheetView showGridLines="0" workbookViewId="0">
      <pane ySplit="2" topLeftCell="A3" activePane="bottomLeft" state="frozen"/>
      <selection pane="bottomLeft" activeCell="D2" sqref="D2"/>
    </sheetView>
  </sheetViews>
  <sheetFormatPr defaultColWidth="9.1796875" defaultRowHeight="13" x14ac:dyDescent="0.3"/>
  <cols>
    <col min="1" max="1" width="36.7265625" style="87" bestFit="1" customWidth="1"/>
    <col min="2" max="2" width="35" style="87" bestFit="1" customWidth="1"/>
    <col min="3" max="3" width="42.81640625" style="87" bestFit="1" customWidth="1"/>
    <col min="4" max="4" width="98" style="87" customWidth="1"/>
    <col min="5" max="5" width="52.26953125" style="87" customWidth="1"/>
    <col min="6" max="6" width="34.81640625" style="87" customWidth="1"/>
    <col min="7" max="16384" width="9.1796875" style="87"/>
  </cols>
  <sheetData>
    <row r="1" spans="1:6" ht="18.5" x14ac:dyDescent="0.45">
      <c r="A1" s="105" t="s">
        <v>229</v>
      </c>
      <c r="B1" s="102"/>
      <c r="C1" s="103"/>
      <c r="D1" s="103"/>
      <c r="E1" s="103"/>
      <c r="F1" s="103"/>
    </row>
    <row r="2" spans="1:6" ht="34.5" customHeight="1" x14ac:dyDescent="0.3">
      <c r="A2" s="104" t="s">
        <v>230</v>
      </c>
      <c r="B2" s="104" t="s">
        <v>231</v>
      </c>
      <c r="C2" s="104" t="s">
        <v>232</v>
      </c>
      <c r="D2" s="104" t="s">
        <v>233</v>
      </c>
      <c r="E2" s="104" t="s">
        <v>234</v>
      </c>
      <c r="F2" s="104" t="s">
        <v>235</v>
      </c>
    </row>
    <row r="3" spans="1:6" ht="34.5" customHeight="1" x14ac:dyDescent="0.3">
      <c r="A3" s="111" t="s">
        <v>5</v>
      </c>
      <c r="B3" s="106" t="s">
        <v>236</v>
      </c>
      <c r="C3" s="106" t="s">
        <v>237</v>
      </c>
      <c r="D3" s="106" t="s">
        <v>238</v>
      </c>
      <c r="E3" s="107"/>
      <c r="F3" s="108"/>
    </row>
    <row r="4" spans="1:6" ht="45.75" customHeight="1" x14ac:dyDescent="0.3">
      <c r="A4" s="111" t="s">
        <v>10</v>
      </c>
      <c r="B4" s="106" t="s">
        <v>239</v>
      </c>
      <c r="C4" s="106" t="s">
        <v>240</v>
      </c>
      <c r="D4" s="106" t="s">
        <v>241</v>
      </c>
      <c r="E4" s="107"/>
      <c r="F4" s="108"/>
    </row>
    <row r="5" spans="1:6" ht="45.75" customHeight="1" x14ac:dyDescent="0.3">
      <c r="A5" s="111" t="s">
        <v>15</v>
      </c>
      <c r="B5" s="106" t="s">
        <v>242</v>
      </c>
      <c r="C5" s="106" t="s">
        <v>243</v>
      </c>
      <c r="D5" s="106" t="s">
        <v>244</v>
      </c>
      <c r="E5" s="109" t="s">
        <v>245</v>
      </c>
      <c r="F5" s="110" t="s">
        <v>246</v>
      </c>
    </row>
    <row r="6" spans="1:6" ht="45.75" customHeight="1" x14ac:dyDescent="0.3">
      <c r="A6" s="111" t="s">
        <v>19</v>
      </c>
      <c r="B6" s="106" t="s">
        <v>247</v>
      </c>
      <c r="C6" s="106" t="s">
        <v>248</v>
      </c>
      <c r="D6" s="106" t="s">
        <v>249</v>
      </c>
      <c r="E6" s="109"/>
      <c r="F6" s="108"/>
    </row>
    <row r="7" spans="1:6" ht="45.75" customHeight="1" x14ac:dyDescent="0.3">
      <c r="A7" s="111" t="s">
        <v>28</v>
      </c>
      <c r="B7" s="106" t="s">
        <v>250</v>
      </c>
      <c r="C7" s="106" t="s">
        <v>237</v>
      </c>
      <c r="D7" s="106" t="s">
        <v>251</v>
      </c>
      <c r="E7" s="109"/>
      <c r="F7" s="108"/>
    </row>
    <row r="8" spans="1:6" ht="45.75" customHeight="1" x14ac:dyDescent="0.3">
      <c r="A8" s="111" t="s">
        <v>32</v>
      </c>
      <c r="B8" s="106" t="s">
        <v>252</v>
      </c>
      <c r="C8" s="106" t="s">
        <v>253</v>
      </c>
      <c r="D8" s="106" t="s">
        <v>254</v>
      </c>
      <c r="E8" s="107"/>
      <c r="F8" s="108"/>
    </row>
    <row r="9" spans="1:6" ht="45.75" customHeight="1" x14ac:dyDescent="0.3">
      <c r="A9" s="111" t="s">
        <v>37</v>
      </c>
      <c r="B9" s="106" t="s">
        <v>255</v>
      </c>
      <c r="C9" s="106" t="s">
        <v>256</v>
      </c>
      <c r="D9" s="106" t="s">
        <v>257</v>
      </c>
      <c r="E9" s="107"/>
      <c r="F9" s="108"/>
    </row>
    <row r="10" spans="1:6" ht="45.75" customHeight="1" x14ac:dyDescent="0.3">
      <c r="A10" s="111" t="s">
        <v>41</v>
      </c>
      <c r="B10" s="106" t="s">
        <v>258</v>
      </c>
      <c r="C10" s="106" t="s">
        <v>259</v>
      </c>
      <c r="D10" s="106" t="s">
        <v>260</v>
      </c>
      <c r="E10" s="109" t="s">
        <v>261</v>
      </c>
      <c r="F10" s="108"/>
    </row>
    <row r="11" spans="1:6" ht="45.75" customHeight="1" x14ac:dyDescent="0.3">
      <c r="A11" s="111" t="s">
        <v>46</v>
      </c>
      <c r="B11" s="106" t="s">
        <v>262</v>
      </c>
      <c r="C11" s="106" t="s">
        <v>263</v>
      </c>
      <c r="D11" s="106" t="s">
        <v>264</v>
      </c>
      <c r="E11" s="109" t="s">
        <v>265</v>
      </c>
      <c r="F11" s="108"/>
    </row>
    <row r="12" spans="1:6" ht="45.75" customHeight="1" x14ac:dyDescent="0.3">
      <c r="A12" s="111" t="s">
        <v>50</v>
      </c>
      <c r="B12" s="106" t="s">
        <v>266</v>
      </c>
      <c r="C12" s="106" t="s">
        <v>248</v>
      </c>
      <c r="D12" s="106" t="s">
        <v>267</v>
      </c>
      <c r="E12" s="109" t="s">
        <v>268</v>
      </c>
      <c r="F12" s="108"/>
    </row>
    <row r="13" spans="1:6" ht="45.75" customHeight="1" x14ac:dyDescent="0.3">
      <c r="A13" s="111" t="s">
        <v>52</v>
      </c>
      <c r="B13" s="106" t="s">
        <v>269</v>
      </c>
      <c r="C13" s="106" t="s">
        <v>248</v>
      </c>
      <c r="D13" s="106" t="s">
        <v>270</v>
      </c>
      <c r="E13" s="109" t="s">
        <v>271</v>
      </c>
      <c r="F13" s="108"/>
    </row>
    <row r="14" spans="1:6" ht="45.75" customHeight="1" x14ac:dyDescent="0.3">
      <c r="A14" s="111" t="s">
        <v>44</v>
      </c>
      <c r="B14" s="106" t="s">
        <v>272</v>
      </c>
      <c r="C14" s="106" t="s">
        <v>273</v>
      </c>
      <c r="D14" s="106" t="s">
        <v>274</v>
      </c>
      <c r="E14" s="109" t="s">
        <v>275</v>
      </c>
      <c r="F14" s="108"/>
    </row>
    <row r="15" spans="1:6" ht="45.75" customHeight="1" x14ac:dyDescent="0.3">
      <c r="A15" s="111" t="s">
        <v>276</v>
      </c>
      <c r="B15" s="106" t="s">
        <v>277</v>
      </c>
      <c r="C15" s="106" t="s">
        <v>278</v>
      </c>
      <c r="D15" s="106" t="s">
        <v>279</v>
      </c>
      <c r="E15" s="109" t="s">
        <v>280</v>
      </c>
      <c r="F15" s="108"/>
    </row>
    <row r="16" spans="1:6" ht="45.75" customHeight="1" x14ac:dyDescent="0.3">
      <c r="A16" s="111" t="s">
        <v>22</v>
      </c>
      <c r="B16" s="106" t="s">
        <v>281</v>
      </c>
      <c r="C16" s="106" t="s">
        <v>278</v>
      </c>
      <c r="D16" s="106" t="s">
        <v>282</v>
      </c>
      <c r="E16" s="109" t="s">
        <v>283</v>
      </c>
      <c r="F16" s="108"/>
    </row>
    <row r="17" spans="1:6" ht="45.75" customHeight="1" x14ac:dyDescent="0.3">
      <c r="A17" s="111" t="s">
        <v>49</v>
      </c>
      <c r="B17" s="106" t="s">
        <v>284</v>
      </c>
      <c r="C17" s="106" t="s">
        <v>278</v>
      </c>
      <c r="D17" s="106" t="s">
        <v>285</v>
      </c>
      <c r="E17" s="109" t="s">
        <v>286</v>
      </c>
      <c r="F17" s="108"/>
    </row>
  </sheetData>
  <hyperlinks>
    <hyperlink ref="F5" r:id="rId1" xr:uid="{04B62B10-B5CE-4028-8CF8-164E6210C4DE}"/>
    <hyperlink ref="E5" r:id="rId2" xr:uid="{B5D94D10-F51A-498C-ACB0-95E24E97AB44}"/>
    <hyperlink ref="E10" r:id="rId3" xr:uid="{BF824ACA-7383-4F61-931E-9FE953F9F939}"/>
    <hyperlink ref="E14" r:id="rId4" xr:uid="{85002DAB-C654-470A-A5D5-76063EF8C7B0}"/>
    <hyperlink ref="E15" r:id="rId5" location=":~:text=The%20education%20system%20for%20schools,%E2%80%9317%20years%20of%20age)." xr:uid="{CC76E0FD-200F-4410-851C-9A3757A33CCF}"/>
    <hyperlink ref="E16" r:id="rId6" location="Maori" xr:uid="{810B6508-25DF-4852-9C92-ACD69902570B}"/>
    <hyperlink ref="E12" r:id="rId7" xr:uid="{36F4CA00-ABF2-454B-ABF9-C216E658B62E}"/>
    <hyperlink ref="E13" r:id="rId8" xr:uid="{FB3023E0-621B-493B-B016-F835962819A3}"/>
    <hyperlink ref="E17" r:id="rId9" location="Pacificbilingual" xr:uid="{8E0C4D58-436F-4C42-B753-20A201A92A94}"/>
    <hyperlink ref="E11" r:id="rId10" location="Vandalism" xr:uid="{1FAE4100-11C1-4117-A194-872AEC5A7A3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oE Document" ma:contentTypeID="0x01010053526B971DAC78418EC6A9ED490C61AF00CE33CC9C8D169F4A94B72173D37DFCED" ma:contentTypeVersion="5" ma:contentTypeDescription="Default document class for adding items via wizard or drag and drop." ma:contentTypeScope="" ma:versionID="26d91aeba86b7dc7899675c7ab5c9166">
  <xsd:schema xmlns:xsd="http://www.w3.org/2001/XMLSchema" xmlns:xs="http://www.w3.org/2001/XMLSchema" xmlns:p="http://schemas.microsoft.com/office/2006/metadata/properties" xmlns:ns2="d267a1a7-8edd-4111-a118-4a206d87cecc" xmlns:ns3="cdfe1719-7ffe-44c8-a892-1693cb1ed6f5" targetNamespace="http://schemas.microsoft.com/office/2006/metadata/properties" ma:root="true" ma:fieldsID="43df92cf3561b494457c26bfef1abf98" ns2:_="" ns3:_="">
    <xsd:import namespace="d267a1a7-8edd-4111-a118-4a206d87cecc"/>
    <xsd:import namespace="cdfe1719-7ffe-44c8-a892-1693cb1ed6f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Status" minOccurs="0"/>
                <xsd:element ref="ns2:Date_x0020_Authored" minOccurs="0"/>
                <xsd:element ref="ns2:FileNet_x0020_Version_x0020_ID" minOccurs="0"/>
                <xsd:element ref="ns2:FileNet_x0020_Object_x0020_ID" minOccurs="0"/>
                <xsd:element ref="ns2:hf7c71fd10d346fe8adb3bb49d5c0fc0" minOccurs="0"/>
                <xsd:element ref="ns2:m06bc18559e9431bb4d590962e6b7f83" minOccurs="0"/>
                <xsd:element ref="ns2:FileNetAddedBy" minOccurs="0"/>
                <xsd:element ref="ns2:FileNetAddMigration" minOccurs="0"/>
                <xsd:element ref="ns2:FileNetAllOfMinistry" minOccurs="0"/>
                <xsd:element ref="ns2:FileNetAlphaCode" minOccurs="0"/>
                <xsd:element ref="ns2:FileNetAuthor" minOccurs="0"/>
                <xsd:element ref="ns2:FileNetBusinessGroups" minOccurs="0"/>
                <xsd:element ref="ns2:FileNetConsumerProcess" minOccurs="0"/>
                <xsd:element ref="ns2:FileNetCreatedBy" minOccurs="0"/>
                <xsd:element ref="ns2:FileNetEffectiveFrom" minOccurs="0"/>
                <xsd:element ref="ns2:FileNetEndDate" minOccurs="0"/>
                <xsd:element ref="ns2:FileNetExpiry" minOccurs="0"/>
                <xsd:element ref="ns2:FileNetFolderAccess" minOccurs="0"/>
                <xsd:element ref="ns2:FileNetFolderSecurityType" minOccurs="0"/>
                <xsd:element ref="ns2:FileNetLastReview" minOccurs="0"/>
                <xsd:element ref="ns2:FileNetMeetingDate" minOccurs="0"/>
                <xsd:element ref="ns2:FileNetMeetingDocumentationType" minOccurs="0"/>
                <xsd:element ref="ns2:FileNetModifiiedBy" minOccurs="0"/>
                <xsd:element ref="ns2:FileNetNextReviewDueDate" minOccurs="0"/>
                <xsd:element ref="ns2:FileNetParagraph" minOccurs="0"/>
                <xsd:element ref="ns2:FileNetParagraphStatus" minOccurs="0"/>
                <xsd:element ref="ns2:FileNetPhysicalFile" minOccurs="0"/>
                <xsd:element ref="ns2:FileNetPhysicalFileNumber" minOccurs="0"/>
                <xsd:element ref="ns2:FileNetProcessName" minOccurs="0"/>
                <xsd:element ref="ns2:FileNetProcessOwner" minOccurs="0"/>
                <xsd:element ref="ns2:FileNetRecordsManagementActivity" minOccurs="0"/>
                <xsd:element ref="ns2:FileNetScope" minOccurs="0"/>
                <xsd:element ref="ns2:FileNetSource" minOccurs="0"/>
                <xsd:element ref="ns2:FileNetStartDate" minOccurs="0"/>
                <xsd:element ref="ns2:FileNetsubject1" minOccurs="0"/>
                <xsd:element ref="ns2:FileNetsubject2" minOccurs="0"/>
                <xsd:element ref="ns2:FileNetsubject3" minOccurs="0"/>
                <xsd:element ref="ns2:FileNetTriggerProcess" minOccurs="0"/>
                <xsd:element ref="ns2:c65b51bc6a0e4ac9b0840b09a1858551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7a1a7-8edd-4111-a118-4a206d87cecc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32a8bf8-793b-47be-8b4f-0851dec13f4b}" ma:internalName="TaxCatchAll" ma:showField="CatchAllData" ma:web="cdfe1719-7ffe-44c8-a892-1693cb1ed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232a8bf8-793b-47be-8b4f-0851dec13f4b}" ma:internalName="TaxCatchAllLabel" ma:readOnly="true" ma:showField="CatchAllDataLabel" ma:web="cdfe1719-7ffe-44c8-a892-1693cb1ed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us" ma:index="10" nillable="true" ma:displayName="Status" ma:description="Security marking set associated with document: Draft  for documents which can be edited and finalised for documents which are no longer to be edited.&#10;" ma:format="Dropdown" ma:internalName="Status">
      <xsd:simpleType>
        <xsd:restriction base="dms:Choice">
          <xsd:enumeration value="Draft"/>
          <xsd:enumeration value="Finalised"/>
        </xsd:restriction>
      </xsd:simpleType>
    </xsd:element>
    <xsd:element name="Date_x0020_Authored" ma:index="11" nillable="true" ma:displayName="Date Authored" ma:default="" ma:description="Date resource was actually created, not date of registration into system. Default to Date Uploaded but can be overridden if required. Must be able to enter a date or browse using pop-up calendar-type feature " ma:format="DateOnly" ma:internalName="Date_x0020_Authored">
      <xsd:simpleType>
        <xsd:restriction base="dms:DateTime"/>
      </xsd:simpleType>
    </xsd:element>
    <xsd:element name="FileNet_x0020_Version_x0020_ID" ma:index="12" nillable="true" ma:displayName="FileNet Version ID" ma:default="" ma:description="Version ID" ma:hidden="true" ma:internalName="FileNet_x0020_Version_x0020_ID" ma:readOnly="false">
      <xsd:simpleType>
        <xsd:restriction base="dms:Text">
          <xsd:maxLength value="255"/>
        </xsd:restriction>
      </xsd:simpleType>
    </xsd:element>
    <xsd:element name="FileNet_x0020_Object_x0020_ID" ma:index="13" nillable="true" ma:displayName="FileNet Object ID" ma:default="" ma:description="Folder or Document ID" ma:hidden="true" ma:internalName="FileNet_x0020_Object_x0020_ID" ma:readOnly="false">
      <xsd:simpleType>
        <xsd:restriction base="dms:Text">
          <xsd:maxLength value="255"/>
        </xsd:restriction>
      </xsd:simpleType>
    </xsd:element>
    <xsd:element name="hf7c71fd10d346fe8adb3bb49d5c0fc0" ma:index="14" nillable="true" ma:taxonomy="true" ma:internalName="hf7c71fd10d346fe8adb3bb49d5c0fc0" ma:taxonomyFieldName="FinancialYear" ma:displayName="Financial Year" ma:fieldId="{1f7c71fd-10d3-46fe-8adb-3bb49d5c0fc0}" ma:sspId="dbe7a66c-04a3-4463-8f17-244784dbc568" ma:termSetId="af7dacbb-3732-4a8d-94c4-b8ce8cd952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6bc18559e9431bb4d590962e6b7f83" ma:index="16" nillable="true" ma:taxonomy="true" ma:internalName="m06bc18559e9431bb4d590962e6b7f83" ma:taxonomyFieldName="CalendarYear" ma:displayName="Calendar Year" ma:fieldId="{606bc185-59e9-431b-b4d5-90962e6b7f83}" ma:sspId="dbe7a66c-04a3-4463-8f17-244784dbc568" ma:termSetId="bfcc8cbd-371a-4cc9-b153-5a5a6fdb36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leNetAddedBy" ma:index="18" nillable="true" ma:displayName="FileNet Added By" ma:hidden="true" ma:internalName="FileNetAddedBy" ma:readOnly="false">
      <xsd:simpleType>
        <xsd:restriction base="dms:Text">
          <xsd:maxLength value="255"/>
        </xsd:restriction>
      </xsd:simpleType>
    </xsd:element>
    <xsd:element name="FileNetAddMigration" ma:index="19" nillable="true" ma:displayName="FileNet AddMigration" ma:hidden="true" ma:internalName="FileNetAddMigration" ma:readOnly="false">
      <xsd:simpleType>
        <xsd:restriction base="dms:Text">
          <xsd:maxLength value="255"/>
        </xsd:restriction>
      </xsd:simpleType>
    </xsd:element>
    <xsd:element name="FileNetAllOfMinistry" ma:index="20" nillable="true" ma:displayName="FileNet All Of Ministry" ma:hidden="true" ma:internalName="FileNetAllOfMinistry" ma:readOnly="false">
      <xsd:simpleType>
        <xsd:restriction base="dms:Text">
          <xsd:maxLength value="255"/>
        </xsd:restriction>
      </xsd:simpleType>
    </xsd:element>
    <xsd:element name="FileNetAlphaCode" ma:index="21" nillable="true" ma:displayName="FileNet AlphaCode" ma:hidden="true" ma:internalName="FileNetAlphaCode" ma:readOnly="false">
      <xsd:simpleType>
        <xsd:restriction base="dms:Text">
          <xsd:maxLength value="255"/>
        </xsd:restriction>
      </xsd:simpleType>
    </xsd:element>
    <xsd:element name="FileNetAuthor" ma:index="22" nillable="true" ma:displayName="FileNet Author" ma:hidden="true" ma:internalName="FileNetAuthor" ma:readOnly="false">
      <xsd:simpleType>
        <xsd:restriction base="dms:Text">
          <xsd:maxLength value="255"/>
        </xsd:restriction>
      </xsd:simpleType>
    </xsd:element>
    <xsd:element name="FileNetBusinessGroups" ma:index="23" nillable="true" ma:displayName="FileNet Business Groups" ma:hidden="true" ma:internalName="FileNetBusinessGroups" ma:readOnly="false">
      <xsd:simpleType>
        <xsd:restriction base="dms:Text">
          <xsd:maxLength value="255"/>
        </xsd:restriction>
      </xsd:simpleType>
    </xsd:element>
    <xsd:element name="FileNetConsumerProcess" ma:index="24" nillable="true" ma:displayName="FileNet ConsumerProcess" ma:hidden="true" ma:internalName="FileNetConsumerProcess" ma:readOnly="false">
      <xsd:simpleType>
        <xsd:restriction base="dms:Text">
          <xsd:maxLength value="255"/>
        </xsd:restriction>
      </xsd:simpleType>
    </xsd:element>
    <xsd:element name="FileNetCreatedBy" ma:index="25" nillable="true" ma:displayName="FileNet Created By" ma:internalName="FileNetCreatedBy" ma:readOnly="false">
      <xsd:simpleType>
        <xsd:restriction base="dms:Text">
          <xsd:maxLength value="255"/>
        </xsd:restriction>
      </xsd:simpleType>
    </xsd:element>
    <xsd:element name="FileNetEffectiveFrom" ma:index="26" nillable="true" ma:displayName="FileNet EffectiveFrom" ma:hidden="true" ma:internalName="FileNetEffectiveFrom" ma:readOnly="false">
      <xsd:simpleType>
        <xsd:restriction base="dms:Text">
          <xsd:maxLength value="255"/>
        </xsd:restriction>
      </xsd:simpleType>
    </xsd:element>
    <xsd:element name="FileNetEndDate" ma:index="27" nillable="true" ma:displayName="FileNet End Date" ma:hidden="true" ma:internalName="FileNetEndDate" ma:readOnly="false">
      <xsd:simpleType>
        <xsd:restriction base="dms:Text">
          <xsd:maxLength value="255"/>
        </xsd:restriction>
      </xsd:simpleType>
    </xsd:element>
    <xsd:element name="FileNetExpiry" ma:index="28" nillable="true" ma:displayName="FileNet Expiry" ma:hidden="true" ma:internalName="FileNetExpiry" ma:readOnly="false">
      <xsd:simpleType>
        <xsd:restriction base="dms:Text">
          <xsd:maxLength value="255"/>
        </xsd:restriction>
      </xsd:simpleType>
    </xsd:element>
    <xsd:element name="FileNetFolderAccess" ma:index="29" nillable="true" ma:displayName="FileNet FolderAccess" ma:hidden="true" ma:internalName="FileNetFolderAccess" ma:readOnly="false">
      <xsd:simpleType>
        <xsd:restriction base="dms:Text">
          <xsd:maxLength value="255"/>
        </xsd:restriction>
      </xsd:simpleType>
    </xsd:element>
    <xsd:element name="FileNetFolderSecurityType" ma:index="30" nillable="true" ma:displayName="FileNet FolderSecurityType" ma:hidden="true" ma:internalName="FileNetFolderSecurityType" ma:readOnly="false">
      <xsd:simpleType>
        <xsd:restriction base="dms:Text">
          <xsd:maxLength value="255"/>
        </xsd:restriction>
      </xsd:simpleType>
    </xsd:element>
    <xsd:element name="FileNetLastReview" ma:index="31" nillable="true" ma:displayName="FileNet LastReview" ma:hidden="true" ma:internalName="FileNetLastReview" ma:readOnly="false">
      <xsd:simpleType>
        <xsd:restriction base="dms:Text">
          <xsd:maxLength value="255"/>
        </xsd:restriction>
      </xsd:simpleType>
    </xsd:element>
    <xsd:element name="FileNetMeetingDate" ma:index="32" nillable="true" ma:displayName="FileNet MeetingDate" ma:hidden="true" ma:internalName="FileNetMeetingDate" ma:readOnly="false">
      <xsd:simpleType>
        <xsd:restriction base="dms:Text">
          <xsd:maxLength value="255"/>
        </xsd:restriction>
      </xsd:simpleType>
    </xsd:element>
    <xsd:element name="FileNetMeetingDocumentationType" ma:index="33" nillable="true" ma:displayName="FileNet MeetingDocumentationType" ma:hidden="true" ma:internalName="FileNetMeetingDocumentationType" ma:readOnly="false">
      <xsd:simpleType>
        <xsd:restriction base="dms:Text">
          <xsd:maxLength value="255"/>
        </xsd:restriction>
      </xsd:simpleType>
    </xsd:element>
    <xsd:element name="FileNetModifiiedBy" ma:index="34" nillable="true" ma:displayName="FileNet Modified By" ma:internalName="FileNetModifiiedBy" ma:readOnly="false">
      <xsd:simpleType>
        <xsd:restriction base="dms:Text">
          <xsd:maxLength value="255"/>
        </xsd:restriction>
      </xsd:simpleType>
    </xsd:element>
    <xsd:element name="FileNetNextReviewDueDate" ma:index="35" nillable="true" ma:displayName="FileNet NextReviewDueDate" ma:hidden="true" ma:internalName="FileNetNextReviewDueDate" ma:readOnly="false">
      <xsd:simpleType>
        <xsd:restriction base="dms:Text">
          <xsd:maxLength value="255"/>
        </xsd:restriction>
      </xsd:simpleType>
    </xsd:element>
    <xsd:element name="FileNetParagraph" ma:index="36" nillable="true" ma:displayName="FileNet Paragraph" ma:hidden="true" ma:internalName="FileNetParagraph" ma:readOnly="false">
      <xsd:simpleType>
        <xsd:restriction base="dms:Text">
          <xsd:maxLength value="255"/>
        </xsd:restriction>
      </xsd:simpleType>
    </xsd:element>
    <xsd:element name="FileNetParagraphStatus" ma:index="37" nillable="true" ma:displayName="FileNet Paragraph Status" ma:hidden="true" ma:internalName="FileNetParagraphStatus" ma:readOnly="false">
      <xsd:simpleType>
        <xsd:restriction base="dms:Text">
          <xsd:maxLength value="255"/>
        </xsd:restriction>
      </xsd:simpleType>
    </xsd:element>
    <xsd:element name="FileNetPhysicalFile" ma:index="38" nillable="true" ma:displayName="FileNet PhysicalFile" ma:hidden="true" ma:internalName="FileNetPhysicalFile" ma:readOnly="false">
      <xsd:simpleType>
        <xsd:restriction base="dms:Text">
          <xsd:maxLength value="255"/>
        </xsd:restriction>
      </xsd:simpleType>
    </xsd:element>
    <xsd:element name="FileNetPhysicalFileNumber" ma:index="39" nillable="true" ma:displayName="FileNet PhysicalFileNumber" ma:hidden="true" ma:internalName="FileNetPhysicalFileNumber" ma:readOnly="false">
      <xsd:simpleType>
        <xsd:restriction base="dms:Text">
          <xsd:maxLength value="255"/>
        </xsd:restriction>
      </xsd:simpleType>
    </xsd:element>
    <xsd:element name="FileNetProcessName" ma:index="40" nillable="true" ma:displayName="FileNet ProcessName" ma:hidden="true" ma:internalName="FileNetProcessName" ma:readOnly="false">
      <xsd:simpleType>
        <xsd:restriction base="dms:Text">
          <xsd:maxLength value="255"/>
        </xsd:restriction>
      </xsd:simpleType>
    </xsd:element>
    <xsd:element name="FileNetProcessOwner" ma:index="41" nillable="true" ma:displayName="FileNet ProcessOwner" ma:hidden="true" ma:internalName="FileNetProcessOwner" ma:readOnly="false">
      <xsd:simpleType>
        <xsd:restriction base="dms:Text">
          <xsd:maxLength value="255"/>
        </xsd:restriction>
      </xsd:simpleType>
    </xsd:element>
    <xsd:element name="FileNetRecordsManagementActivity" ma:index="42" nillable="true" ma:displayName="FileNet RecordsManagementActivity" ma:hidden="true" ma:internalName="FileNetRecordsManagementActivity" ma:readOnly="false">
      <xsd:simpleType>
        <xsd:restriction base="dms:Text">
          <xsd:maxLength value="255"/>
        </xsd:restriction>
      </xsd:simpleType>
    </xsd:element>
    <xsd:element name="FileNetScope" ma:index="43" nillable="true" ma:displayName="FileNet Scope" ma:hidden="true" ma:internalName="FileNetScope" ma:readOnly="false">
      <xsd:simpleType>
        <xsd:restriction base="dms:Text">
          <xsd:maxLength value="255"/>
        </xsd:restriction>
      </xsd:simpleType>
    </xsd:element>
    <xsd:element name="FileNetSource" ma:index="44" nillable="true" ma:displayName="FileNet Source" ma:hidden="true" ma:internalName="FileNetSource" ma:readOnly="false">
      <xsd:simpleType>
        <xsd:restriction base="dms:Text">
          <xsd:maxLength value="255"/>
        </xsd:restriction>
      </xsd:simpleType>
    </xsd:element>
    <xsd:element name="FileNetStartDate" ma:index="45" nillable="true" ma:displayName="FileNet Start Date" ma:hidden="true" ma:internalName="FileNetStartDate" ma:readOnly="false">
      <xsd:simpleType>
        <xsd:restriction base="dms:Text">
          <xsd:maxLength value="255"/>
        </xsd:restriction>
      </xsd:simpleType>
    </xsd:element>
    <xsd:element name="FileNetsubject1" ma:index="46" nillable="true" ma:displayName="FileNet subject 1" ma:hidden="true" ma:internalName="FileNetsubject1" ma:readOnly="false">
      <xsd:simpleType>
        <xsd:restriction base="dms:Text">
          <xsd:maxLength value="255"/>
        </xsd:restriction>
      </xsd:simpleType>
    </xsd:element>
    <xsd:element name="FileNetsubject2" ma:index="47" nillable="true" ma:displayName="FileNet subject 2" ma:hidden="true" ma:internalName="FileNetsubject2" ma:readOnly="false">
      <xsd:simpleType>
        <xsd:restriction base="dms:Text">
          <xsd:maxLength value="255"/>
        </xsd:restriction>
      </xsd:simpleType>
    </xsd:element>
    <xsd:element name="FileNetsubject3" ma:index="48" nillable="true" ma:displayName="FileNet subject 3" ma:hidden="true" ma:internalName="FileNetsubject3" ma:readOnly="false">
      <xsd:simpleType>
        <xsd:restriction base="dms:Text">
          <xsd:maxLength value="255"/>
        </xsd:restriction>
      </xsd:simpleType>
    </xsd:element>
    <xsd:element name="FileNetTriggerProcess" ma:index="49" nillable="true" ma:displayName="FileNet TriggerProcess" ma:hidden="true" ma:internalName="FileNetTriggerProcess" ma:readOnly="false">
      <xsd:simpleType>
        <xsd:restriction base="dms:Text">
          <xsd:maxLength value="255"/>
        </xsd:restriction>
      </xsd:simpleType>
    </xsd:element>
    <xsd:element name="c65b51bc6a0e4ac9b0840b09a1858551" ma:index="50" nillable="true" ma:taxonomy="true" ma:internalName="c65b51bc6a0e4ac9b0840b09a1858551" ma:taxonomyFieldName="Record_x0020_Activity" ma:displayName="Record Activity" ma:indexed="true" ma:readOnly="false" ma:default="" ma:fieldId="{c65b51bc-6a0e-4ac9-b084-0b09a1858551}" ma:sspId="dbe7a66c-04a3-4463-8f17-244784dbc568" ma:termSetId="e0490ee9-9d4b-40d2-9ac4-9f1d118dfaf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e1719-7ffe-44c8-a892-1693cb1ed6f5" elementFormDefault="qualified">
    <xsd:import namespace="http://schemas.microsoft.com/office/2006/documentManagement/types"/>
    <xsd:import namespace="http://schemas.microsoft.com/office/infopath/2007/PartnerControls"/>
    <xsd:element name="_dlc_DocId" ma:index="5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be7a66c-04a3-4463-8f17-244784dbc568" ContentTypeId="0x01010053526B971DAC78418EC6A9ED490C61AF" PreviousValue="false" LastSyncTimeStamp="2023-08-28T02:00:41.81Z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f7c71fd10d346fe8adb3bb49d5c0fc0 xmlns="d267a1a7-8edd-4111-a118-4a206d87cecc">
      <Terms xmlns="http://schemas.microsoft.com/office/infopath/2007/PartnerControls"/>
    </hf7c71fd10d346fe8adb3bb49d5c0fc0>
    <FileNetAlphaCode xmlns="d267a1a7-8edd-4111-a118-4a206d87cecc" xsi:nil="true"/>
    <FileNetAuthor xmlns="d267a1a7-8edd-4111-a118-4a206d87cecc" xsi:nil="true"/>
    <FileNetAllOfMinistry xmlns="d267a1a7-8edd-4111-a118-4a206d87cecc" xsi:nil="true"/>
    <FileNetEffectiveFrom xmlns="d267a1a7-8edd-4111-a118-4a206d87cecc" xsi:nil="true"/>
    <FileNetPhysicalFile xmlns="d267a1a7-8edd-4111-a118-4a206d87cecc" xsi:nil="true"/>
    <FileNet_x0020_Version_x0020_ID xmlns="d267a1a7-8edd-4111-a118-4a206d87cecc" xsi:nil="true"/>
    <FileNetRecordsManagementActivity xmlns="d267a1a7-8edd-4111-a118-4a206d87cecc" xsi:nil="true"/>
    <FileNetStartDate xmlns="d267a1a7-8edd-4111-a118-4a206d87cecc" xsi:nil="true"/>
    <Date_x0020_Authored xmlns="d267a1a7-8edd-4111-a118-4a206d87cecc" xsi:nil="true"/>
    <FileNetProcessName xmlns="d267a1a7-8edd-4111-a118-4a206d87cecc" xsi:nil="true"/>
    <FileNet_x0020_Object_x0020_ID xmlns="d267a1a7-8edd-4111-a118-4a206d87cecc" xsi:nil="true"/>
    <FileNetCreatedBy xmlns="d267a1a7-8edd-4111-a118-4a206d87cecc" xsi:nil="true"/>
    <FileNetExpiry xmlns="d267a1a7-8edd-4111-a118-4a206d87cecc" xsi:nil="true"/>
    <FileNetAddedBy xmlns="d267a1a7-8edd-4111-a118-4a206d87cecc" xsi:nil="true"/>
    <FileNetNextReviewDueDate xmlns="d267a1a7-8edd-4111-a118-4a206d87cecc" xsi:nil="true"/>
    <FileNetsubject3 xmlns="d267a1a7-8edd-4111-a118-4a206d87cecc" xsi:nil="true"/>
    <FileNetLastReview xmlns="d267a1a7-8edd-4111-a118-4a206d87cecc" xsi:nil="true"/>
    <FileNetsubject2 xmlns="d267a1a7-8edd-4111-a118-4a206d87cecc" xsi:nil="true"/>
    <c65b51bc6a0e4ac9b0840b09a1858551 xmlns="d267a1a7-8edd-4111-a118-4a206d87cecc">
      <Terms xmlns="http://schemas.microsoft.com/office/infopath/2007/PartnerControls"/>
    </c65b51bc6a0e4ac9b0840b09a1858551>
    <FileNetFolderSecurityType xmlns="d267a1a7-8edd-4111-a118-4a206d87cecc" xsi:nil="true"/>
    <FileNetMeetingDocumentationType xmlns="d267a1a7-8edd-4111-a118-4a206d87cecc" xsi:nil="true"/>
    <FileNetPhysicalFileNumber xmlns="d267a1a7-8edd-4111-a118-4a206d87cecc" xsi:nil="true"/>
    <FileNetProcessOwner xmlns="d267a1a7-8edd-4111-a118-4a206d87cecc" xsi:nil="true"/>
    <FileNetsubject1 xmlns="d267a1a7-8edd-4111-a118-4a206d87cecc" xsi:nil="true"/>
    <m06bc18559e9431bb4d590962e6b7f83 xmlns="d267a1a7-8edd-4111-a118-4a206d87cecc">
      <Terms xmlns="http://schemas.microsoft.com/office/infopath/2007/PartnerControls"/>
    </m06bc18559e9431bb4d590962e6b7f83>
    <FileNetModifiiedBy xmlns="d267a1a7-8edd-4111-a118-4a206d87cecc" xsi:nil="true"/>
    <FileNetMeetingDate xmlns="d267a1a7-8edd-4111-a118-4a206d87cecc" xsi:nil="true"/>
    <FileNetBusinessGroups xmlns="d267a1a7-8edd-4111-a118-4a206d87cecc" xsi:nil="true"/>
    <FileNetTriggerProcess xmlns="d267a1a7-8edd-4111-a118-4a206d87cecc" xsi:nil="true"/>
    <TaxCatchAll xmlns="d267a1a7-8edd-4111-a118-4a206d87cecc" xsi:nil="true"/>
    <Status xmlns="d267a1a7-8edd-4111-a118-4a206d87cecc" xsi:nil="true"/>
    <FileNetScope xmlns="d267a1a7-8edd-4111-a118-4a206d87cecc" xsi:nil="true"/>
    <FileNetEndDate xmlns="d267a1a7-8edd-4111-a118-4a206d87cecc" xsi:nil="true"/>
    <FileNetParagraph xmlns="d267a1a7-8edd-4111-a118-4a206d87cecc" xsi:nil="true"/>
    <FileNetConsumerProcess xmlns="d267a1a7-8edd-4111-a118-4a206d87cecc" xsi:nil="true"/>
    <FileNetParagraphStatus xmlns="d267a1a7-8edd-4111-a118-4a206d87cecc" xsi:nil="true"/>
    <FileNetAddMigration xmlns="d267a1a7-8edd-4111-a118-4a206d87cecc" xsi:nil="true"/>
    <FileNetFolderAccess xmlns="d267a1a7-8edd-4111-a118-4a206d87cecc" xsi:nil="true"/>
    <FileNetSource xmlns="d267a1a7-8edd-4111-a118-4a206d87cecc" xsi:nil="true"/>
    <_dlc_DocId xmlns="cdfe1719-7ffe-44c8-a892-1693cb1ed6f5">MoEd-737259535-392</_dlc_DocId>
    <_dlc_DocIdUrl xmlns="cdfe1719-7ffe-44c8-a892-1693cb1ed6f5">
      <Url>https://educationgovtnz.sharepoint.com/sites/GRPMoEEDKForecastingandModelling/_layouts/15/DocIdRedir.aspx?ID=MoEd-737259535-392</Url>
      <Description>MoEd-737259535-392</Description>
    </_dlc_DocIdUrl>
  </documentManagement>
</p:properties>
</file>

<file path=customXml/itemProps1.xml><?xml version="1.0" encoding="utf-8"?>
<ds:datastoreItem xmlns:ds="http://schemas.openxmlformats.org/officeDocument/2006/customXml" ds:itemID="{FE653E99-B174-4E52-B26A-273D13CE3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67a1a7-8edd-4111-a118-4a206d87cecc"/>
    <ds:schemaRef ds:uri="cdfe1719-7ffe-44c8-a892-1693cb1ed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AB0717-3FBE-4A46-B2B7-DBBE2A3E135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69A89E4-C859-4E61-A115-D262780FC37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EF5E3CC-783C-4835-B9B7-225DA8D19C6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5DF5FFB-9090-4A27-A968-D972B7B63682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cdfe1719-7ffe-44c8-a892-1693cb1ed6f5"/>
    <ds:schemaRef ds:uri="http://schemas.microsoft.com/office/infopath/2007/PartnerControls"/>
    <ds:schemaRef ds:uri="d267a1a7-8edd-4111-a118-4a206d87cec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NewCalculation</vt:lpstr>
      <vt:lpstr>Rates.Table</vt:lpstr>
      <vt:lpstr>Data.Dictionary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 Nava</dc:creator>
  <cp:keywords/>
  <dc:description/>
  <cp:lastModifiedBy>Jordana Davison</cp:lastModifiedBy>
  <cp:revision/>
  <dcterms:created xsi:type="dcterms:W3CDTF">2022-03-21T22:41:15Z</dcterms:created>
  <dcterms:modified xsi:type="dcterms:W3CDTF">2025-05-01T23:00:03Z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0x01010053526B971DAC78418EC6A9ED490C61AF00CE33CC9C8D169F4A94B72173D37DFCED</vt:lpwstr>
  </property>
  <property fmtid="{D5CDD505-2E9C-101B-9397-08002B2CF9AE}" pid="5" name="_dlc_DocIdItemGuid">
    <vt:lpwstr>60e36242-f9b1-4a17-9802-63258e3789d8</vt:lpwstr>
  </property>
  <property fmtid="{D5CDD505-2E9C-101B-9397-08002B2CF9AE}" pid="6" name="j560beb70aea488fb091e84adbb32566">
    <vt:lpwstr/>
  </property>
  <property fmtid="{D5CDD505-2E9C-101B-9397-08002B2CF9AE}" pid="7" name="Ministerial_x0020_Type">
    <vt:lpwstr/>
  </property>
  <property fmtid="{D5CDD505-2E9C-101B-9397-08002B2CF9AE}" pid="8" name="Property_x0020_Management_x0020_Activity">
    <vt:lpwstr/>
  </property>
  <property fmtid="{D5CDD505-2E9C-101B-9397-08002B2CF9AE}" pid="9" name="MediaServiceImageTags">
    <vt:lpwstr/>
  </property>
  <property fmtid="{D5CDD505-2E9C-101B-9397-08002B2CF9AE}" pid="10" name="CalendarYear">
    <vt:lpwstr/>
  </property>
  <property fmtid="{D5CDD505-2E9C-101B-9397-08002B2CF9AE}" pid="11" name="lcf76f155ced4ddcb4097134ff3c332f">
    <vt:lpwstr/>
  </property>
  <property fmtid="{D5CDD505-2E9C-101B-9397-08002B2CF9AE}" pid="12" name="FinancialYear">
    <vt:lpwstr/>
  </property>
  <property fmtid="{D5CDD505-2E9C-101B-9397-08002B2CF9AE}" pid="13" name="ce139978aae645acb1db0a0e0d3df2f5">
    <vt:lpwstr/>
  </property>
  <property fmtid="{D5CDD505-2E9C-101B-9397-08002B2CF9AE}" pid="14" name="Record Activity">
    <vt:lpwstr/>
  </property>
  <property fmtid="{D5CDD505-2E9C-101B-9397-08002B2CF9AE}" pid="15" name="Property Management Activity">
    <vt:lpwstr/>
  </property>
  <property fmtid="{D5CDD505-2E9C-101B-9397-08002B2CF9AE}" pid="16" name="Ministerial Type">
    <vt:lpwstr/>
  </property>
  <property fmtid="{D5CDD505-2E9C-101B-9397-08002B2CF9AE}" pid="17" name="SharedWithUsers">
    <vt:lpwstr>170;#Jordan Naama</vt:lpwstr>
  </property>
  <property fmtid="{D5CDD505-2E9C-101B-9397-08002B2CF9AE}" pid="18" name="Record_x0020_Activity">
    <vt:lpwstr/>
  </property>
</Properties>
</file>